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011005" sheetId="1" r:id="rId1"/>
  </sheets>
  <definedNames>
    <definedName name="_xlnm.Print_Area" localSheetId="0">'011005'!$A$1:$G$58</definedName>
  </definedNames>
  <calcPr fullCalcOnLoad="1" refMode="R1C1"/>
</workbook>
</file>

<file path=xl/sharedStrings.xml><?xml version="1.0" encoding="utf-8"?>
<sst xmlns="http://schemas.openxmlformats.org/spreadsheetml/2006/main" count="83" uniqueCount="81">
  <si>
    <t>Номер РНН:  600700043016</t>
  </si>
  <si>
    <t>Код ОКПО:  15396305</t>
  </si>
  <si>
    <t>БИК: 190501722</t>
  </si>
  <si>
    <t>Номер корреспондентского счета:  700161122</t>
  </si>
  <si>
    <t>Место нахождения головного банка: г.Алматы, ул.Шарипова, 90</t>
  </si>
  <si>
    <t>БУХГАЛТЕРСКИЙ БАЛАНС</t>
  </si>
  <si>
    <t xml:space="preserve">ОТЧЕТ О ДОХОДАХ И РАСХОДАХ </t>
  </si>
  <si>
    <t>АО "БАНК КАСПИЙСКИЙ"</t>
  </si>
  <si>
    <t>по состоянию за 3 квартал 2005 года</t>
  </si>
  <si>
    <t>тыс. тенге</t>
  </si>
  <si>
    <t>тыс.тенге</t>
  </si>
  <si>
    <t>На конец отчетного периода</t>
  </si>
  <si>
    <t>За 31 декабря  2004 года</t>
  </si>
  <si>
    <t>Наименование статьи</t>
  </si>
  <si>
    <t>За отчетный период</t>
  </si>
  <si>
    <t>За аналогичный отчетный период предыдущего года</t>
  </si>
  <si>
    <t>АКТИВЫ</t>
  </si>
  <si>
    <t>Процентные доходы</t>
  </si>
  <si>
    <t>Наличные деньги</t>
  </si>
  <si>
    <t>Процентные расходы</t>
  </si>
  <si>
    <t>Корреспондентские счета и вклады в Национальном Банке РК</t>
  </si>
  <si>
    <t>Аффинированные драгоценные металлы</t>
  </si>
  <si>
    <t>Чистый процентный доход (убыток) до формирования резерва на возможные потери</t>
  </si>
  <si>
    <t>Ценные бумаги, предназначенные для торговли (за вычетом резервов на возможные потери)</t>
  </si>
  <si>
    <t>Корреспондентские счета и вклады в других банках (за вычетом резервов на возможные потери)</t>
  </si>
  <si>
    <t>Резервы/(восстановление резервов) на возможные потери</t>
  </si>
  <si>
    <t>Займы и финансовая аренда, предоставленные другим банкам (за вычетом резервов на возможные потери)</t>
  </si>
  <si>
    <t>Займы и финансовая аренда, предоставленные клиентам (за вычетом резервов на возможные потери)</t>
  </si>
  <si>
    <t>Чистый процентный доход (убыток)</t>
  </si>
  <si>
    <t>Прочие требования к клиентам (за вычетом резервов на возможные потери)</t>
  </si>
  <si>
    <t>Прочие ценные бумаги (за вычетом резервов на возможные потери)</t>
  </si>
  <si>
    <t>Доходы в виде дивидендов</t>
  </si>
  <si>
    <t>Отсроченное налоговое требование</t>
  </si>
  <si>
    <t>Доходы в виде комиссионных и сборов</t>
  </si>
  <si>
    <t>Инвестиции в капитал и субординированный долг</t>
  </si>
  <si>
    <t>Расходы по выплате комиссионных и сборов</t>
  </si>
  <si>
    <t>Основные средства (за вычетом амортизации)</t>
  </si>
  <si>
    <t>Доходы (убытки) от купли/продажи ценных бумаг (нетто)</t>
  </si>
  <si>
    <t>Нематериальные активы (за вычетом амортизации)</t>
  </si>
  <si>
    <t>Доходы (убытки) от переоценки ценных бумаг (нетто)</t>
  </si>
  <si>
    <t>Прочие активы (за вычетом резервов на возможные потери)</t>
  </si>
  <si>
    <t>Доходы (убытки) по операциям с иностранной валютой (нетто)</t>
  </si>
  <si>
    <t>ИТОГО АКТИВОВ</t>
  </si>
  <si>
    <t>Доходы (убытки) от переоценки иностранной валюты и золота (нетто)</t>
  </si>
  <si>
    <t>ОБЯЗАТЕЛЬСТВА</t>
  </si>
  <si>
    <t>Прочие доходы</t>
  </si>
  <si>
    <t>Корреспондентские счета и вклады банков</t>
  </si>
  <si>
    <t>Чистый непроцентный доход (убыток)</t>
  </si>
  <si>
    <t>Банковские счета и вклады клиентов</t>
  </si>
  <si>
    <t>Полученные займы от банков и нефинансовых организаций</t>
  </si>
  <si>
    <t>Общие административные расходы</t>
  </si>
  <si>
    <t>Выпущенные долговые ценные бумаги</t>
  </si>
  <si>
    <t>Амортизация и износ</t>
  </si>
  <si>
    <t>Прочие привлеченные средства</t>
  </si>
  <si>
    <t>Прочие расходы</t>
  </si>
  <si>
    <t>Субординированный долг</t>
  </si>
  <si>
    <t>Отсроченное налоговое обязательство</t>
  </si>
  <si>
    <t>Прибыль (убыток) до формирования резервов по прочим операциям и до налогооблажения</t>
  </si>
  <si>
    <t>Обязательства по налогам и другим обязательным платежам в бюджет</t>
  </si>
  <si>
    <t>Прочие обязательства</t>
  </si>
  <si>
    <t>Резервы/(восстановление резервов) на возможные потери по прочим операциям</t>
  </si>
  <si>
    <t xml:space="preserve">ИТОГО ОБЯЗАТЕЛЬСТВА </t>
  </si>
  <si>
    <t>СОБСТВЕННЫЙ КАПИТАЛ</t>
  </si>
  <si>
    <t>Прибыль (убыток) до налогообложения</t>
  </si>
  <si>
    <t xml:space="preserve">Уставный  капитал </t>
  </si>
  <si>
    <t xml:space="preserve">     простые акции</t>
  </si>
  <si>
    <t>Корпоративный подоходный налог</t>
  </si>
  <si>
    <t xml:space="preserve">     привилегированные акции</t>
  </si>
  <si>
    <t>Премии (дополнительный оплаченный капитал)</t>
  </si>
  <si>
    <t>Чистая прибыль (убыток)</t>
  </si>
  <si>
    <t>Изъятый капитал</t>
  </si>
  <si>
    <t>Резервный капитал</t>
  </si>
  <si>
    <t>Прочие резервы</t>
  </si>
  <si>
    <t>Нераспределенный чистый доход (непокрытый убыток)</t>
  </si>
  <si>
    <t xml:space="preserve">ИТОГО КАПИТАЛ </t>
  </si>
  <si>
    <t>ИТОГО ОБЯЗАТЕЛЬСТВ И СОБСТВЕННОГО КАПИТАЛА:</t>
  </si>
  <si>
    <t>И.о.главного бухгалтера</t>
  </si>
  <si>
    <t>Уалибекова Н.А.</t>
  </si>
  <si>
    <t>Исполнитель: Оздровская Л.Б., тел. 92-59-87</t>
  </si>
  <si>
    <t>Председатель Правления</t>
  </si>
  <si>
    <t>Миронов А.А.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</si>
</sst>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_-* #,##0.0_р_._-;\-* #,##0.0_р_._-;_-* &quot;-&quot;??_р_._-;_-@_-"/>
    <numFmt numFmtId="166" formatCode="_-* #,##0_р_._-;\-* #,##0_р_._-;_-* &quot;-&quot;??_р_._-;_-@_-"/>
  </numFmts>
  <fonts count="5">
    <font>
      <sz val="10"/>
      <name val="Arial Cyr"/>
      <family val="0"/>
    </font>
    <font>
      <b/>
      <sz val="10"/>
      <name val="Arial CYR"/>
      <family val="2"/>
    </font>
    <font>
      <b/>
      <sz val="8"/>
      <name val="Arial Cyr"/>
      <family val="2"/>
    </font>
    <font>
      <sz val="8"/>
      <name val="Arial Cyr"/>
      <family val="2"/>
    </font>
    <font>
      <sz val="10"/>
      <color indexed="10"/>
      <name val="Arial Cyr"/>
      <family val="2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166" fontId="3" fillId="0" borderId="1" xfId="18" applyNumberFormat="1" applyFont="1" applyBorder="1" applyAlignment="1">
      <alignment vertical="center" wrapText="1"/>
    </xf>
    <xf numFmtId="0" fontId="2" fillId="0" borderId="11" xfId="0" applyFont="1" applyBorder="1" applyAlignment="1">
      <alignment vertical="center"/>
    </xf>
    <xf numFmtId="166" fontId="2" fillId="0" borderId="12" xfId="18" applyNumberFormat="1" applyFont="1" applyBorder="1" applyAlignment="1">
      <alignment vertical="center"/>
    </xf>
    <xf numFmtId="166" fontId="2" fillId="0" borderId="13" xfId="18" applyNumberFormat="1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166" fontId="2" fillId="0" borderId="1" xfId="18" applyNumberFormat="1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166" fontId="2" fillId="0" borderId="15" xfId="18" applyNumberFormat="1" applyFont="1" applyBorder="1" applyAlignment="1">
      <alignment vertical="center" wrapText="1"/>
    </xf>
    <xf numFmtId="166" fontId="2" fillId="0" borderId="16" xfId="18" applyNumberFormat="1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166" fontId="1" fillId="0" borderId="17" xfId="18" applyNumberFormat="1" applyFont="1" applyBorder="1" applyAlignment="1">
      <alignment vertical="center" wrapText="1"/>
    </xf>
    <xf numFmtId="166" fontId="1" fillId="0" borderId="9" xfId="18" applyNumberFormat="1" applyFont="1" applyBorder="1" applyAlignment="1">
      <alignment vertical="center"/>
    </xf>
    <xf numFmtId="0" fontId="1" fillId="0" borderId="8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2" fillId="0" borderId="11" xfId="0" applyFont="1" applyBorder="1" applyAlignment="1">
      <alignment vertical="center" wrapText="1"/>
    </xf>
    <xf numFmtId="166" fontId="2" fillId="0" borderId="12" xfId="18" applyNumberFormat="1" applyFont="1" applyBorder="1" applyAlignment="1">
      <alignment vertical="center" wrapText="1"/>
    </xf>
    <xf numFmtId="166" fontId="2" fillId="0" borderId="18" xfId="18" applyNumberFormat="1" applyFont="1" applyBorder="1" applyAlignment="1">
      <alignment vertical="center"/>
    </xf>
    <xf numFmtId="0" fontId="2" fillId="0" borderId="19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166" fontId="3" fillId="0" borderId="16" xfId="18" applyNumberFormat="1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2" fillId="0" borderId="2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166" fontId="3" fillId="0" borderId="13" xfId="18" applyNumberFormat="1" applyFont="1" applyBorder="1" applyAlignment="1">
      <alignment vertical="center"/>
    </xf>
    <xf numFmtId="0" fontId="3" fillId="0" borderId="21" xfId="0" applyFont="1" applyBorder="1" applyAlignment="1">
      <alignment vertical="center" wrapText="1"/>
    </xf>
    <xf numFmtId="166" fontId="3" fillId="0" borderId="15" xfId="18" applyNumberFormat="1" applyFont="1" applyBorder="1" applyAlignment="1">
      <alignment vertical="center" wrapText="1"/>
    </xf>
    <xf numFmtId="166" fontId="3" fillId="0" borderId="22" xfId="18" applyNumberFormat="1" applyFont="1" applyBorder="1" applyAlignment="1">
      <alignment vertical="center"/>
    </xf>
    <xf numFmtId="0" fontId="2" fillId="0" borderId="2" xfId="0" applyFont="1" applyBorder="1" applyAlignment="1">
      <alignment vertical="center" wrapText="1"/>
    </xf>
    <xf numFmtId="166" fontId="2" fillId="0" borderId="17" xfId="18" applyNumberFormat="1" applyFont="1" applyBorder="1" applyAlignment="1">
      <alignment vertical="center" wrapText="1"/>
    </xf>
    <xf numFmtId="166" fontId="2" fillId="0" borderId="9" xfId="18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166" fontId="2" fillId="0" borderId="23" xfId="18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3" fontId="0" fillId="0" borderId="0" xfId="0" applyNumberFormat="1" applyBorder="1" applyAlignment="1">
      <alignment vertical="center"/>
    </xf>
    <xf numFmtId="0" fontId="3" fillId="0" borderId="0" xfId="0" applyFont="1" applyAlignment="1">
      <alignment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7"/>
  <sheetViews>
    <sheetView tabSelected="1" zoomScale="85" zoomScaleNormal="85" workbookViewId="0" topLeftCell="A1">
      <selection activeCell="A10" sqref="A10"/>
    </sheetView>
  </sheetViews>
  <sheetFormatPr defaultColWidth="9.00390625" defaultRowHeight="12.75"/>
  <cols>
    <col min="1" max="1" width="56.375" style="2" customWidth="1"/>
    <col min="2" max="2" width="13.625" style="2" customWidth="1"/>
    <col min="3" max="3" width="14.375" style="2" bestFit="1" customWidth="1"/>
    <col min="4" max="4" width="2.00390625" style="2" customWidth="1"/>
    <col min="5" max="5" width="58.75390625" style="2" customWidth="1"/>
    <col min="6" max="6" width="13.625" style="2" customWidth="1"/>
    <col min="7" max="7" width="12.75390625" style="2" customWidth="1"/>
    <col min="8" max="16384" width="9.125" style="2" customWidth="1"/>
  </cols>
  <sheetData>
    <row r="1" ht="12.75">
      <c r="A1" s="1" t="s">
        <v>0</v>
      </c>
    </row>
    <row r="2" ht="12.75">
      <c r="A2" s="3" t="s">
        <v>1</v>
      </c>
    </row>
    <row r="3" ht="12.75">
      <c r="A3" s="3" t="s">
        <v>2</v>
      </c>
    </row>
    <row r="4" ht="12.75">
      <c r="A4" s="3" t="s">
        <v>3</v>
      </c>
    </row>
    <row r="5" ht="12.75">
      <c r="A5" s="3" t="s">
        <v>4</v>
      </c>
    </row>
    <row r="7" spans="1:7" ht="12.75">
      <c r="A7" s="4" t="s">
        <v>5</v>
      </c>
      <c r="B7" s="4"/>
      <c r="C7" s="5"/>
      <c r="E7" s="4" t="s">
        <v>6</v>
      </c>
      <c r="F7" s="4"/>
      <c r="G7" s="5"/>
    </row>
    <row r="8" spans="1:7" ht="12.75">
      <c r="A8" s="4" t="s">
        <v>7</v>
      </c>
      <c r="B8" s="4"/>
      <c r="C8" s="4"/>
      <c r="E8" s="4" t="s">
        <v>7</v>
      </c>
      <c r="F8" s="4"/>
      <c r="G8" s="4"/>
    </row>
    <row r="9" spans="1:7" ht="12.75">
      <c r="A9" s="4" t="s">
        <v>8</v>
      </c>
      <c r="B9" s="4"/>
      <c r="C9" s="4"/>
      <c r="E9" s="4" t="s">
        <v>8</v>
      </c>
      <c r="F9" s="4"/>
      <c r="G9" s="6"/>
    </row>
    <row r="10" spans="3:7" ht="13.5" thickBot="1">
      <c r="C10" s="7" t="s">
        <v>9</v>
      </c>
      <c r="G10" s="7" t="s">
        <v>10</v>
      </c>
    </row>
    <row r="11" spans="1:7" ht="68.25" thickBot="1">
      <c r="A11" s="8"/>
      <c r="B11" s="9" t="s">
        <v>11</v>
      </c>
      <c r="C11" s="10" t="s">
        <v>12</v>
      </c>
      <c r="E11" s="11" t="s">
        <v>13</v>
      </c>
      <c r="F11" s="12" t="s">
        <v>14</v>
      </c>
      <c r="G11" s="13" t="s">
        <v>15</v>
      </c>
    </row>
    <row r="12" spans="1:7" ht="13.5" thickBot="1">
      <c r="A12" s="14" t="s">
        <v>16</v>
      </c>
      <c r="B12" s="15"/>
      <c r="C12" s="16"/>
      <c r="E12" s="17" t="s">
        <v>17</v>
      </c>
      <c r="F12" s="18">
        <f>12798+17+65864+21326+8338842+672025-12-169651+132976-119395</f>
        <v>8954790</v>
      </c>
      <c r="G12" s="18">
        <f>10393+1442+317+6549+5275127-1311098+555097+1745+958+83</f>
        <v>4540613</v>
      </c>
    </row>
    <row r="13" spans="1:7" ht="12.75">
      <c r="A13" s="19" t="s">
        <v>18</v>
      </c>
      <c r="B13" s="20">
        <v>2582522</v>
      </c>
      <c r="C13" s="21">
        <v>1779586</v>
      </c>
      <c r="E13" s="17" t="s">
        <v>19</v>
      </c>
      <c r="F13" s="18">
        <f>7+3012+676127+5270+18919+229487+1459898+43364+699278+67297+724490</f>
        <v>3927149</v>
      </c>
      <c r="G13" s="18">
        <f>609+9856+235124+8176+4964+4250+12816+1022010+39078+417743+674810</f>
        <v>2429436</v>
      </c>
    </row>
    <row r="14" spans="1:7" ht="12.75">
      <c r="A14" s="22" t="s">
        <v>20</v>
      </c>
      <c r="B14" s="23">
        <v>1358697</v>
      </c>
      <c r="C14" s="21">
        <v>7542040</v>
      </c>
      <c r="E14" s="22"/>
      <c r="F14" s="23"/>
      <c r="G14" s="23"/>
    </row>
    <row r="15" spans="1:7" ht="22.5">
      <c r="A15" s="22" t="s">
        <v>21</v>
      </c>
      <c r="B15" s="23"/>
      <c r="C15" s="21"/>
      <c r="E15" s="22" t="s">
        <v>22</v>
      </c>
      <c r="F15" s="23">
        <f>SUM(F12-F13)</f>
        <v>5027641</v>
      </c>
      <c r="G15" s="23">
        <f>SUM(G12-G13)</f>
        <v>2111177</v>
      </c>
    </row>
    <row r="16" spans="1:7" ht="22.5">
      <c r="A16" s="22" t="s">
        <v>23</v>
      </c>
      <c r="B16" s="23"/>
      <c r="C16" s="21">
        <v>2584</v>
      </c>
      <c r="E16" s="17"/>
      <c r="F16" s="23"/>
      <c r="G16" s="23"/>
    </row>
    <row r="17" spans="1:7" ht="22.5">
      <c r="A17" s="22" t="s">
        <v>24</v>
      </c>
      <c r="B17" s="23">
        <f>1573256+2479430+2133+5874</f>
        <v>4060693</v>
      </c>
      <c r="C17" s="21">
        <v>2025553</v>
      </c>
      <c r="E17" s="17" t="s">
        <v>25</v>
      </c>
      <c r="F17" s="18">
        <f>1882571+11555-336246</f>
        <v>1557880</v>
      </c>
      <c r="G17" s="18">
        <f>1240192-369470</f>
        <v>870722</v>
      </c>
    </row>
    <row r="18" spans="1:7" ht="22.5">
      <c r="A18" s="22" t="s">
        <v>26</v>
      </c>
      <c r="B18" s="23"/>
      <c r="C18" s="21"/>
      <c r="E18" s="17"/>
      <c r="F18" s="23"/>
      <c r="G18" s="23"/>
    </row>
    <row r="19" spans="1:7" ht="22.5">
      <c r="A19" s="22" t="s">
        <v>27</v>
      </c>
      <c r="B19" s="23">
        <f>267045+78501632+1438+1414721+31452+6721436+128483</f>
        <v>87066207</v>
      </c>
      <c r="C19" s="21">
        <f>1250055+45819945</f>
        <v>47070000</v>
      </c>
      <c r="E19" s="22" t="s">
        <v>28</v>
      </c>
      <c r="F19" s="23">
        <f>SUM(F15-F17)</f>
        <v>3469761</v>
      </c>
      <c r="G19" s="23">
        <f>SUM(G15-G17)</f>
        <v>1240455</v>
      </c>
    </row>
    <row r="20" spans="1:7" ht="22.5">
      <c r="A20" s="22" t="s">
        <v>29</v>
      </c>
      <c r="B20" s="23"/>
      <c r="C20" s="21"/>
      <c r="E20" s="17"/>
      <c r="F20" s="23"/>
      <c r="G20" s="23"/>
    </row>
    <row r="21" spans="1:7" ht="12.75" customHeight="1">
      <c r="A21" s="22" t="s">
        <v>30</v>
      </c>
      <c r="B21" s="23">
        <f>17881689+218154</f>
        <v>18099843</v>
      </c>
      <c r="C21" s="21">
        <v>13100153</v>
      </c>
      <c r="E21" s="17" t="s">
        <v>31</v>
      </c>
      <c r="F21" s="23"/>
      <c r="G21" s="23"/>
    </row>
    <row r="22" spans="1:7" ht="12.75" customHeight="1">
      <c r="A22" s="22" t="s">
        <v>32</v>
      </c>
      <c r="B22" s="23"/>
      <c r="C22" s="21"/>
      <c r="E22" s="17" t="s">
        <v>33</v>
      </c>
      <c r="F22" s="18">
        <f>119395+1563794</f>
        <v>1683189</v>
      </c>
      <c r="G22" s="18">
        <f>1311098+1046411+212+50</f>
        <v>2357771</v>
      </c>
    </row>
    <row r="23" spans="1:7" ht="12.75">
      <c r="A23" s="22" t="s">
        <v>34</v>
      </c>
      <c r="B23" s="23">
        <v>366407</v>
      </c>
      <c r="C23" s="21">
        <v>232021</v>
      </c>
      <c r="E23" s="17" t="s">
        <v>35</v>
      </c>
      <c r="F23" s="18">
        <v>167663</v>
      </c>
      <c r="G23" s="18">
        <v>115474</v>
      </c>
    </row>
    <row r="24" spans="1:7" ht="12.75">
      <c r="A24" s="22" t="s">
        <v>36</v>
      </c>
      <c r="B24" s="23">
        <f>2853992-49150+33137</f>
        <v>2837979</v>
      </c>
      <c r="C24" s="21">
        <v>2527192</v>
      </c>
      <c r="E24" s="17" t="s">
        <v>37</v>
      </c>
      <c r="F24" s="18">
        <f>28823-3550</f>
        <v>25273</v>
      </c>
      <c r="G24" s="18">
        <f>7049-6551</f>
        <v>498</v>
      </c>
    </row>
    <row r="25" spans="1:7" ht="12.75">
      <c r="A25" s="22" t="s">
        <v>38</v>
      </c>
      <c r="B25" s="23">
        <f>49150-33137</f>
        <v>16013</v>
      </c>
      <c r="C25" s="21">
        <v>20196</v>
      </c>
      <c r="E25" s="17" t="s">
        <v>39</v>
      </c>
      <c r="F25" s="18">
        <f>-27530</f>
        <v>-27530</v>
      </c>
      <c r="G25" s="18">
        <f>3489-15658-13008</f>
        <v>-25177</v>
      </c>
    </row>
    <row r="26" spans="1:7" ht="13.5" thickBot="1">
      <c r="A26" s="24" t="s">
        <v>40</v>
      </c>
      <c r="B26" s="25">
        <f>126212+802128+97947+511+3158967</f>
        <v>4185765</v>
      </c>
      <c r="C26" s="26">
        <f>5258263</f>
        <v>5258263</v>
      </c>
      <c r="E26" s="17" t="s">
        <v>41</v>
      </c>
      <c r="F26" s="18">
        <f>452121-127496-1895</f>
        <v>322730</v>
      </c>
      <c r="G26" s="18">
        <f>368256-122780-53</f>
        <v>245423</v>
      </c>
    </row>
    <row r="27" spans="1:7" ht="13.5" thickBot="1">
      <c r="A27" s="27" t="s">
        <v>42</v>
      </c>
      <c r="B27" s="28">
        <f>SUM(B13:B26)</f>
        <v>120574126</v>
      </c>
      <c r="C27" s="29">
        <f>SUM(C13:C26)</f>
        <v>79557588</v>
      </c>
      <c r="E27" s="17" t="s">
        <v>43</v>
      </c>
      <c r="F27" s="18">
        <f>-190074</f>
        <v>-190074</v>
      </c>
      <c r="G27" s="18">
        <f>-17841+129307-933</f>
        <v>110533</v>
      </c>
    </row>
    <row r="28" spans="1:7" ht="15.75" customHeight="1" thickBot="1">
      <c r="A28" s="30" t="s">
        <v>44</v>
      </c>
      <c r="B28" s="31"/>
      <c r="C28" s="32"/>
      <c r="E28" s="17" t="s">
        <v>45</v>
      </c>
      <c r="F28" s="18">
        <f>321+2549+429373+433446+530-24-336246-714</f>
        <v>529235</v>
      </c>
      <c r="G28" s="18">
        <f>38890+667+2297+104485+401670-369470-958-212-56-398+149-50-83</f>
        <v>176931</v>
      </c>
    </row>
    <row r="29" spans="1:7" ht="12.75">
      <c r="A29" s="33" t="s">
        <v>46</v>
      </c>
      <c r="B29" s="34">
        <f>2549+6141877+140307+84</f>
        <v>6284817</v>
      </c>
      <c r="C29" s="35">
        <v>5299866</v>
      </c>
      <c r="E29" s="22" t="s">
        <v>47</v>
      </c>
      <c r="F29" s="23">
        <f>SUM(F21+F22-F23+F24+F25+F26+F27+F28)</f>
        <v>2175160</v>
      </c>
      <c r="G29" s="23">
        <f>SUM(G21+G22-G23+G24+G25+G26+G27+G28)</f>
        <v>2750505</v>
      </c>
    </row>
    <row r="30" spans="1:7" ht="14.25" customHeight="1">
      <c r="A30" s="22" t="s">
        <v>48</v>
      </c>
      <c r="B30" s="23">
        <f>41128035+3706+60+846+317817+108110</f>
        <v>41558574</v>
      </c>
      <c r="C30" s="21">
        <v>32139354</v>
      </c>
      <c r="E30" s="36"/>
      <c r="F30" s="23"/>
      <c r="G30" s="23"/>
    </row>
    <row r="31" spans="1:7" ht="14.25" customHeight="1">
      <c r="A31" s="22" t="s">
        <v>49</v>
      </c>
      <c r="B31" s="23">
        <f>24020175-58213+174180+1947+9005012</f>
        <v>33143101</v>
      </c>
      <c r="C31" s="21">
        <f>13397569</f>
        <v>13397569</v>
      </c>
      <c r="E31" s="17" t="s">
        <v>50</v>
      </c>
      <c r="F31" s="18">
        <f>1693254+1307077+543247+28+173889+52010</f>
        <v>3769505</v>
      </c>
      <c r="G31" s="18">
        <f>919964+653371+226881+67955</f>
        <v>1868171</v>
      </c>
    </row>
    <row r="32" spans="1:7" ht="12.75">
      <c r="A32" s="22" t="s">
        <v>51</v>
      </c>
      <c r="B32" s="23">
        <f>14989471+428866</f>
        <v>15418337</v>
      </c>
      <c r="C32" s="21">
        <v>6629142</v>
      </c>
      <c r="E32" s="17" t="s">
        <v>52</v>
      </c>
      <c r="F32" s="18">
        <v>168012</v>
      </c>
      <c r="G32" s="18">
        <v>185147</v>
      </c>
    </row>
    <row r="33" spans="1:7" ht="12.75">
      <c r="A33" s="22" t="s">
        <v>53</v>
      </c>
      <c r="B33" s="23">
        <f>61356+58213+1014+1</f>
        <v>120584</v>
      </c>
      <c r="C33" s="21">
        <v>209811</v>
      </c>
      <c r="E33" s="17" t="s">
        <v>54</v>
      </c>
      <c r="F33" s="18">
        <f>21042+54353</f>
        <v>75395</v>
      </c>
      <c r="G33" s="18">
        <f>800+31595+156345+8894-67955+35</f>
        <v>129714</v>
      </c>
    </row>
    <row r="34" spans="1:7" ht="12.75">
      <c r="A34" s="22" t="s">
        <v>55</v>
      </c>
      <c r="B34" s="23">
        <f>10508926+318941-11326</f>
        <v>10816541</v>
      </c>
      <c r="C34" s="21">
        <v>10583888</v>
      </c>
      <c r="E34" s="17"/>
      <c r="F34" s="23"/>
      <c r="G34" s="23"/>
    </row>
    <row r="35" spans="1:7" ht="22.5">
      <c r="A35" s="22" t="s">
        <v>56</v>
      </c>
      <c r="B35" s="23">
        <v>104035</v>
      </c>
      <c r="C35" s="21">
        <v>104726</v>
      </c>
      <c r="E35" s="22" t="s">
        <v>57</v>
      </c>
      <c r="F35" s="23">
        <f>SUM(F19+F29-F31-F32-F33)</f>
        <v>1632009</v>
      </c>
      <c r="G35" s="23">
        <f>SUM(G19+G29-G31-G32-G33)</f>
        <v>1807928</v>
      </c>
    </row>
    <row r="36" spans="1:7" ht="22.5">
      <c r="A36" s="22" t="s">
        <v>58</v>
      </c>
      <c r="B36" s="23">
        <v>237911</v>
      </c>
      <c r="C36" s="21">
        <v>137736</v>
      </c>
      <c r="E36" s="22"/>
      <c r="F36" s="23"/>
      <c r="G36" s="23"/>
    </row>
    <row r="37" spans="1:7" ht="23.25" thickBot="1">
      <c r="A37" s="22" t="s">
        <v>59</v>
      </c>
      <c r="B37" s="25">
        <f>105186+40236+8256+1481915-237911-104035+11326</f>
        <v>1304973</v>
      </c>
      <c r="C37" s="21">
        <f>1909555+2415</f>
        <v>1911970</v>
      </c>
      <c r="E37" s="17" t="s">
        <v>60</v>
      </c>
      <c r="F37" s="18">
        <f>25616+1121+124019-24-714</f>
        <v>150018</v>
      </c>
      <c r="G37" s="18">
        <f>49185+80+62154-56-398</f>
        <v>110965</v>
      </c>
    </row>
    <row r="38" spans="1:7" ht="13.5" thickBot="1">
      <c r="A38" s="27" t="s">
        <v>61</v>
      </c>
      <c r="B38" s="28">
        <f>SUM(B29:B37)</f>
        <v>108988873</v>
      </c>
      <c r="C38" s="29">
        <f>SUM(C29:C37)</f>
        <v>70414062</v>
      </c>
      <c r="E38" s="37"/>
      <c r="F38" s="23"/>
      <c r="G38" s="38"/>
    </row>
    <row r="39" spans="1:7" ht="13.5" thickBot="1">
      <c r="A39" s="14" t="s">
        <v>62</v>
      </c>
      <c r="B39" s="15"/>
      <c r="C39" s="39"/>
      <c r="E39" s="22" t="s">
        <v>63</v>
      </c>
      <c r="F39" s="23">
        <f>SUM(F35-F37)</f>
        <v>1481991</v>
      </c>
      <c r="G39" s="21">
        <f>SUM(G35-G37)</f>
        <v>1696963</v>
      </c>
    </row>
    <row r="40" spans="1:7" ht="12.75">
      <c r="A40" s="33" t="s">
        <v>64</v>
      </c>
      <c r="B40" s="34">
        <f>SUM(B41:B42)</f>
        <v>6658570</v>
      </c>
      <c r="C40" s="35">
        <f>SUM(C41:C42)</f>
        <v>5804109</v>
      </c>
      <c r="E40" s="40"/>
      <c r="F40" s="23"/>
      <c r="G40" s="26"/>
    </row>
    <row r="41" spans="1:7" ht="12.75">
      <c r="A41" s="41" t="s">
        <v>65</v>
      </c>
      <c r="B41" s="23">
        <f>6634420</f>
        <v>6634420</v>
      </c>
      <c r="C41" s="35">
        <v>5779959</v>
      </c>
      <c r="E41" s="17" t="s">
        <v>66</v>
      </c>
      <c r="F41" s="18">
        <v>440811</v>
      </c>
      <c r="G41" s="42">
        <v>173637</v>
      </c>
    </row>
    <row r="42" spans="1:7" ht="13.5" thickBot="1">
      <c r="A42" s="41" t="s">
        <v>67</v>
      </c>
      <c r="B42" s="23">
        <v>24150</v>
      </c>
      <c r="C42" s="35">
        <v>24150</v>
      </c>
      <c r="E42" s="43"/>
      <c r="F42" s="44"/>
      <c r="G42" s="45"/>
    </row>
    <row r="43" spans="1:7" ht="13.5" thickBot="1">
      <c r="A43" s="33" t="s">
        <v>68</v>
      </c>
      <c r="B43" s="23">
        <v>518975</v>
      </c>
      <c r="C43" s="35">
        <v>521104</v>
      </c>
      <c r="E43" s="46" t="s">
        <v>69</v>
      </c>
      <c r="F43" s="47">
        <f>SUM(F39-F41)</f>
        <v>1041180</v>
      </c>
      <c r="G43" s="48">
        <f>SUM(G39-G41)</f>
        <v>1523326</v>
      </c>
    </row>
    <row r="44" spans="1:3" ht="12.75">
      <c r="A44" s="33" t="s">
        <v>70</v>
      </c>
      <c r="B44" s="23">
        <f>64802+487</f>
        <v>65289</v>
      </c>
      <c r="C44" s="35">
        <v>487</v>
      </c>
    </row>
    <row r="45" spans="1:3" ht="12.75">
      <c r="A45" s="33" t="s">
        <v>71</v>
      </c>
      <c r="B45" s="23">
        <v>398211</v>
      </c>
      <c r="C45" s="35">
        <v>398211</v>
      </c>
    </row>
    <row r="46" spans="1:5" ht="12.75">
      <c r="A46" s="22" t="s">
        <v>72</v>
      </c>
      <c r="B46" s="23">
        <f>458007+72695+483418-2241</f>
        <v>1011879</v>
      </c>
      <c r="C46" s="21">
        <v>443599</v>
      </c>
      <c r="E46" s="49"/>
    </row>
    <row r="47" spans="1:6" ht="13.5" thickBot="1">
      <c r="A47" s="24" t="s">
        <v>73</v>
      </c>
      <c r="B47" s="25">
        <f>2019486+1041180+2241</f>
        <v>3062907</v>
      </c>
      <c r="C47" s="50">
        <f>1976990</f>
        <v>1976990</v>
      </c>
      <c r="E47" s="51" t="s">
        <v>79</v>
      </c>
      <c r="F47" s="51" t="s">
        <v>80</v>
      </c>
    </row>
    <row r="48" spans="1:6" ht="13.5" thickBot="1">
      <c r="A48" s="27" t="s">
        <v>74</v>
      </c>
      <c r="B48" s="28">
        <f>B40+B43-B44+B45+B46+B47</f>
        <v>11585253</v>
      </c>
      <c r="C48" s="29">
        <f>SUM(C40+C43-C44+C45+C46+C47)</f>
        <v>9143526</v>
      </c>
      <c r="E48" s="51"/>
      <c r="F48" s="51"/>
    </row>
    <row r="49" spans="1:6" ht="13.5" thickBot="1">
      <c r="A49" s="27" t="s">
        <v>75</v>
      </c>
      <c r="B49" s="28">
        <f>SUM(B38,B48)</f>
        <v>120574126</v>
      </c>
      <c r="C49" s="29">
        <f>SUM(C38+C48)</f>
        <v>79557588</v>
      </c>
      <c r="E49" s="51"/>
      <c r="F49" s="51"/>
    </row>
    <row r="50" spans="1:6" ht="12.75">
      <c r="A50" s="52"/>
      <c r="B50" s="52"/>
      <c r="C50" s="53"/>
      <c r="E50" s="51" t="s">
        <v>76</v>
      </c>
      <c r="F50" s="51" t="s">
        <v>77</v>
      </c>
    </row>
    <row r="51" spans="1:6" ht="12.75">
      <c r="A51" s="49"/>
      <c r="B51" s="49"/>
      <c r="C51" s="54"/>
      <c r="F51" s="51"/>
    </row>
    <row r="52" spans="1:5" ht="15" customHeight="1">
      <c r="A52" s="51"/>
      <c r="B52" s="51"/>
      <c r="E52" s="55" t="s">
        <v>78</v>
      </c>
    </row>
    <row r="53" spans="1:2" ht="12.75">
      <c r="A53" s="51"/>
      <c r="B53" s="51"/>
    </row>
    <row r="54" spans="1:2" ht="12.75">
      <c r="A54" s="51"/>
      <c r="B54" s="51"/>
    </row>
    <row r="55" spans="1:2" ht="12.75">
      <c r="A55" s="51"/>
      <c r="B55" s="51"/>
    </row>
    <row r="57" spans="1:2" ht="12.75">
      <c r="A57" s="55"/>
      <c r="B57" s="55"/>
    </row>
  </sheetData>
  <mergeCells count="3">
    <mergeCell ref="A39:C39"/>
    <mergeCell ref="A28:C28"/>
    <mergeCell ref="A12:C12"/>
  </mergeCells>
  <printOptions/>
  <pageMargins left="1.18" right="0.3" top="0.78" bottom="0.76" header="0.21" footer="0.27"/>
  <pageSetup fitToHeight="1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ozdrovskaya</dc:creator>
  <cp:keywords/>
  <dc:description/>
  <cp:lastModifiedBy>ozdrovskaya</cp:lastModifiedBy>
  <dcterms:created xsi:type="dcterms:W3CDTF">2005-10-08T08:16:07Z</dcterms:created>
  <dcterms:modified xsi:type="dcterms:W3CDTF">2005-10-08T08:16:46Z</dcterms:modified>
  <cp:category/>
  <cp:version/>
  <cp:contentType/>
  <cp:contentStatus/>
</cp:coreProperties>
</file>