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activeTab="0"/>
  </bookViews>
  <sheets>
    <sheet name="010407" sheetId="1" r:id="rId1"/>
  </sheets>
  <definedNames>
    <definedName name="_xlnm.Print_Area" localSheetId="0">'010407'!$A$1:$G$66</definedName>
  </definedNames>
  <calcPr fullCalcOnLoad="1"/>
</workbook>
</file>

<file path=xl/sharedStrings.xml><?xml version="1.0" encoding="utf-8"?>
<sst xmlns="http://schemas.openxmlformats.org/spreadsheetml/2006/main" count="101" uniqueCount="97">
  <si>
    <t>ББК: 190501722</t>
  </si>
  <si>
    <t>Корреспонденттік есепшот нөмірі: 700161122</t>
  </si>
  <si>
    <t>БУХГАЛТЕРЛІК БАЛАНСЫ</t>
  </si>
  <si>
    <t>АКТИВТЕР</t>
  </si>
  <si>
    <t>мың теңге</t>
  </si>
  <si>
    <t>Тазартылған бағалы металдар</t>
  </si>
  <si>
    <t>Туынды қаржы құралдары</t>
  </si>
  <si>
    <t>Уақыты өткен салықтық талаптар</t>
  </si>
  <si>
    <t>Капиталға инвестициялар және реттелген қарыз</t>
  </si>
  <si>
    <t>Негізгі қаржы (амортизацияларды қоспағанда )</t>
  </si>
  <si>
    <t>Материалдық емес активтер (амортизацияларды қоспағанда)</t>
  </si>
  <si>
    <t>МІНДЕТТЕМЕЛЕР</t>
  </si>
  <si>
    <t xml:space="preserve">Корреспонденттік есепшоттар және банктердің салымдары </t>
  </si>
  <si>
    <t>РЕПО келісімі бойынша сатылған бағалы қағаздар</t>
  </si>
  <si>
    <t>Клиенттердің банктік есепшоттары мен салымдары</t>
  </si>
  <si>
    <t>Шығарылған борыштық бағалы қағаздар</t>
  </si>
  <si>
    <t xml:space="preserve">Банктер алдындағы берешектер </t>
  </si>
  <si>
    <t>Реттелген борыш</t>
  </si>
  <si>
    <t>Салықтық міндеттемелер</t>
  </si>
  <si>
    <t>Уақыты өткен салықтық міндеттемелер</t>
  </si>
  <si>
    <t>Төлемге дивиденттер</t>
  </si>
  <si>
    <t>МЕНШІКТІ КАПИТАЛ</t>
  </si>
  <si>
    <t>Жарғылық капитал</t>
  </si>
  <si>
    <t>жай акциялар</t>
  </si>
  <si>
    <t>артықшылықты акциялар</t>
  </si>
  <si>
    <t>Эмиссиялық кіріс</t>
  </si>
  <si>
    <t>Алып қойылған капитал</t>
  </si>
  <si>
    <t>Резервтік капитал</t>
  </si>
  <si>
    <t>Кезеңдегі таза пайда (залалдардың)</t>
  </si>
  <si>
    <t>КАПИТАЛ ЖИЫНТЫҒЫ</t>
  </si>
  <si>
    <t>МІНДЕТТЕМЕЛЕР ЖИЫНТЫҒЫ</t>
  </si>
  <si>
    <t>АКТИВТЕР ЖИЫНТЫҒЫ</t>
  </si>
  <si>
    <t>МІНДЕТТЕМЕЛЕР МЕН ЖЕКЕ КАПИТАЛДАР ЖИЫНТЫҒЫ:</t>
  </si>
  <si>
    <t>ПАЙДА МЕН ШЫҒЫНДАР ТУРАЛЫ ЕСЕБІ</t>
  </si>
  <si>
    <t>Баптар атауы</t>
  </si>
  <si>
    <t xml:space="preserve">Есеп беру кезеңінде </t>
  </si>
  <si>
    <t>Өткен жылдың ұқсас есеп беру кезеңінде</t>
  </si>
  <si>
    <t>Пайыздық кіріс:</t>
  </si>
  <si>
    <t>бағалы қағаздар бойынша</t>
  </si>
  <si>
    <t>банктердің берген қарыздары мен қаржылық жалдаулар</t>
  </si>
  <si>
    <t>клиенттерге берілген қарыздар бойынша</t>
  </si>
  <si>
    <t>басқа да операциялық кірістер</t>
  </si>
  <si>
    <t>Пайыздық шығындар:</t>
  </si>
  <si>
    <t>банктерден тартылған корреспонденттік есепшоттар мен салымдар</t>
  </si>
  <si>
    <t>банктерден тартылған қарыздар бойынша</t>
  </si>
  <si>
    <t>шығарылған борыштық бағалы қағаздар</t>
  </si>
  <si>
    <t>реттелген борыштар бойынша</t>
  </si>
  <si>
    <t xml:space="preserve">Қарыздар бойынша залалдар резервін қалыптастырғанға дейінгі таза пайыздық кіріс (залал) </t>
  </si>
  <si>
    <t>Қарыздар бойынша залалдар резервін қалыптастыру</t>
  </si>
  <si>
    <t>Таза пайыздық кіріс (залал)</t>
  </si>
  <si>
    <t>Комиссиялық және алым түріндегі кірістер</t>
  </si>
  <si>
    <t>Комиссиялық және алымдарды төлеу бойынша шығындар</t>
  </si>
  <si>
    <t xml:space="preserve">Бағалы қағаздарды (нетто) сатып алу/сату кірісі (залалдар) </t>
  </si>
  <si>
    <t xml:space="preserve">Бағалы қағаздарды (нетто) қайта бағалау кірісі (залалдары) </t>
  </si>
  <si>
    <t xml:space="preserve">Шетелдік валюталармен (нетто) операция жүргізу бойынша кіріс (залалдар) </t>
  </si>
  <si>
    <t xml:space="preserve">Шетелдік валюта мен алтынды (нетто) қайта бағалаудан түскен кіріс (залалдар) </t>
  </si>
  <si>
    <t>Қауымдастық ұйымдарға қатысумен байланысты кірістер</t>
  </si>
  <si>
    <t>Пайызсыз таза кіріс (залал)</t>
  </si>
  <si>
    <t>Операциялық шығындар, соның ішінде:</t>
  </si>
  <si>
    <t>еңбек ақысы мен іссапар шығындары</t>
  </si>
  <si>
    <t>амортизация және тозу</t>
  </si>
  <si>
    <t>Басқа шығындар</t>
  </si>
  <si>
    <t>Операциялық пайда</t>
  </si>
  <si>
    <t>Өзге де операциялар бойынша залалдар резервін қалыптастыру</t>
  </si>
  <si>
    <t>Салық салуға дейінгі пайда (залал)</t>
  </si>
  <si>
    <t>Пайдаға салынатын салықтар бойынша кіріс</t>
  </si>
  <si>
    <t>Таза пайда (залал)</t>
  </si>
  <si>
    <t>Басқарма Төрағасы</t>
  </si>
  <si>
    <t>Бектемісов Н.А.</t>
  </si>
  <si>
    <t>Бас бухгалтер</t>
  </si>
  <si>
    <t>Уәлибекова Н.А.</t>
  </si>
  <si>
    <t xml:space="preserve">Басқа кірістер </t>
  </si>
  <si>
    <t>басқа пайыздық шығындар</t>
  </si>
  <si>
    <t>Басқа тартылған қаражаттар</t>
  </si>
  <si>
    <t>Басқа міндеттемелер</t>
  </si>
  <si>
    <t>Басқа резервтер</t>
  </si>
  <si>
    <t>корреспонденттік есепшоттар мен орналастырылған салымдар бойынша</t>
  </si>
  <si>
    <t>СТН нөмірі:  600700043016</t>
  </si>
  <si>
    <t>Бас банктің мекенжайы: Алматы қ., Ә.Шәріпов к-сі, 90</t>
  </si>
  <si>
    <r>
      <t>КҰЖЖ</t>
    </r>
    <r>
      <rPr>
        <sz val="10"/>
        <rFont val="Arial Cyr"/>
        <family val="0"/>
      </rPr>
      <t xml:space="preserve"> коды:  15396305</t>
    </r>
  </si>
  <si>
    <r>
      <t xml:space="preserve">Кері </t>
    </r>
    <r>
      <rPr>
        <b/>
        <sz val="8"/>
        <color indexed="8"/>
        <rFont val="Arial Cyr"/>
        <family val="0"/>
      </rPr>
      <t>ТБҚС</t>
    </r>
    <r>
      <rPr>
        <b/>
        <sz val="8"/>
        <rFont val="Arial Cyr"/>
        <family val="2"/>
      </rPr>
      <t xml:space="preserve"> шарты бойынша бағалы қағаздар</t>
    </r>
  </si>
  <si>
    <t xml:space="preserve"> "БАНК КАСПИЙСКИЙ" АҚ-ның</t>
  </si>
  <si>
    <t>2007 жылғы 1-тоқсандағы жағдай бойынша</t>
  </si>
  <si>
    <t xml:space="preserve">Есептік кезеңнің аяғында </t>
  </si>
  <si>
    <t>Есептік  кезеңнің басында</t>
  </si>
  <si>
    <t>Касса мен ұлттық банктердегі қалдықтар</t>
  </si>
  <si>
    <t>Сауда бағалы қағаздары (болуы мүмкін залалдарға арналған резервті қоспағанда)</t>
  </si>
  <si>
    <t xml:space="preserve">Басқа банктердегі корреспонденттік есепшоттар мен салымдар (болуы мүмкін залалдарға арналған резервті қоспағанда) </t>
  </si>
  <si>
    <t>Басқа банктерге берілген қарыздар мен қаржылық жалдау (болуы мүмкін залалдарға арналған резервті қоспағанда)</t>
  </si>
  <si>
    <t>Клиенттерге берілген қарыздар (болуы мүмкін залалдарға арналған резервті қоспағанда)</t>
  </si>
  <si>
    <t>Бағалы қағаздарға салымдар (болуы мүмкін залалдарды қоспағанда)</t>
  </si>
  <si>
    <t>Басқа активтер (болуы мүмкін залалдарға арналған резервтерді қоспағанда)</t>
  </si>
  <si>
    <t>Орындаушы: Оздровская Л.Б., тел.: 292-59-87</t>
  </si>
  <si>
    <r>
      <t>ТБҚС</t>
    </r>
    <r>
      <rPr>
        <sz val="8"/>
        <rFont val="Arial Cyr"/>
        <family val="2"/>
      </rPr>
      <t xml:space="preserve"> операциялары бойынша</t>
    </r>
  </si>
  <si>
    <t>клиенттердің есепшоттары бойынша</t>
  </si>
  <si>
    <t>Дивидендтер түріндегі кіріс</t>
  </si>
  <si>
    <t>Корпоративтік табыс салығын қоспағанда, салық төлеу және бюджетке міндетті төлемдер бойынша шығындар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</si>
</sst>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_-* #,##0.0_р_._-;\-* #,##0.0_р_._-;_-* &quot;-&quot;??_р_._-;_-@_-"/>
    <numFmt numFmtId="182" formatCode="_-* #,##0_р_._-;\-* #,##0_р_._-;_-* &quot;-&quot;??_р_._-;_-@_-"/>
    <numFmt numFmtId="183" formatCode="#,##0;[Red]#,##0"/>
    <numFmt numFmtId="184" formatCode="#,##0_ ;[Red]\-#,##0\ 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82" fontId="2" fillId="0" borderId="1" xfId="18" applyNumberFormat="1" applyFont="1" applyBorder="1" applyAlignment="1">
      <alignment vertical="center" wrapText="1"/>
    </xf>
    <xf numFmtId="182" fontId="2" fillId="0" borderId="9" xfId="18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82" fontId="2" fillId="0" borderId="11" xfId="18" applyNumberFormat="1" applyFont="1" applyBorder="1" applyAlignment="1">
      <alignment vertical="center"/>
    </xf>
    <xf numFmtId="182" fontId="2" fillId="0" borderId="12" xfId="18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182" fontId="3" fillId="0" borderId="1" xfId="18" applyNumberFormat="1" applyFont="1" applyBorder="1" applyAlignment="1">
      <alignment vertical="center" wrapText="1"/>
    </xf>
    <xf numFmtId="182" fontId="3" fillId="0" borderId="9" xfId="18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82" fontId="2" fillId="0" borderId="14" xfId="18" applyNumberFormat="1" applyFont="1" applyBorder="1" applyAlignment="1">
      <alignment vertical="center" wrapText="1"/>
    </xf>
    <xf numFmtId="182" fontId="2" fillId="0" borderId="15" xfId="18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82" fontId="1" fillId="0" borderId="16" xfId="18" applyNumberFormat="1" applyFont="1" applyBorder="1" applyAlignment="1">
      <alignment vertical="center" wrapText="1"/>
    </xf>
    <xf numFmtId="182" fontId="1" fillId="0" borderId="17" xfId="18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82" fontId="2" fillId="0" borderId="11" xfId="18" applyNumberFormat="1" applyFont="1" applyBorder="1" applyAlignment="1">
      <alignment vertical="center" wrapText="1"/>
    </xf>
    <xf numFmtId="182" fontId="2" fillId="0" borderId="18" xfId="18" applyNumberFormat="1" applyFont="1" applyBorder="1" applyAlignment="1">
      <alignment vertical="center"/>
    </xf>
    <xf numFmtId="182" fontId="2" fillId="0" borderId="19" xfId="18" applyNumberFormat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82" fontId="2" fillId="0" borderId="22" xfId="18" applyNumberFormat="1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23" xfId="0" applyFont="1" applyBorder="1" applyAlignment="1">
      <alignment vertical="center" wrapText="1"/>
    </xf>
    <xf numFmtId="182" fontId="3" fillId="0" borderId="14" xfId="18" applyNumberFormat="1" applyFont="1" applyBorder="1" applyAlignment="1">
      <alignment vertical="center" wrapText="1"/>
    </xf>
    <xf numFmtId="182" fontId="3" fillId="0" borderId="24" xfId="18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82" fontId="2" fillId="0" borderId="16" xfId="18" applyNumberFormat="1" applyFont="1" applyBorder="1" applyAlignment="1">
      <alignment vertical="center" wrapText="1"/>
    </xf>
    <xf numFmtId="182" fontId="2" fillId="0" borderId="4" xfId="18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61">
      <selection activeCell="E46" sqref="E46"/>
    </sheetView>
  </sheetViews>
  <sheetFormatPr defaultColWidth="9.00390625" defaultRowHeight="12.75"/>
  <cols>
    <col min="1" max="1" width="56.375" style="2" customWidth="1"/>
    <col min="2" max="2" width="13.625" style="2" customWidth="1"/>
    <col min="3" max="3" width="15.625" style="2" bestFit="1" customWidth="1"/>
    <col min="4" max="4" width="2.00390625" style="2" customWidth="1"/>
    <col min="5" max="5" width="58.75390625" style="2" customWidth="1"/>
    <col min="6" max="6" width="13.625" style="2" customWidth="1"/>
    <col min="7" max="7" width="12.75390625" style="2" customWidth="1"/>
    <col min="8" max="16384" width="9.125" style="2" customWidth="1"/>
  </cols>
  <sheetData>
    <row r="1" ht="12.75">
      <c r="A1" s="1" t="s">
        <v>77</v>
      </c>
    </row>
    <row r="2" ht="12.75">
      <c r="A2" s="51" t="s">
        <v>79</v>
      </c>
    </row>
    <row r="3" ht="12.75">
      <c r="A3" s="3" t="s">
        <v>0</v>
      </c>
    </row>
    <row r="4" ht="12.75">
      <c r="A4" s="3" t="s">
        <v>1</v>
      </c>
    </row>
    <row r="5" ht="12.75">
      <c r="A5" s="3" t="s">
        <v>78</v>
      </c>
    </row>
    <row r="7" spans="1:7" ht="12.75">
      <c r="A7" s="4" t="s">
        <v>81</v>
      </c>
      <c r="B7" s="4"/>
      <c r="C7" s="5"/>
      <c r="E7" s="4" t="s">
        <v>81</v>
      </c>
      <c r="F7" s="4"/>
      <c r="G7" s="5"/>
    </row>
    <row r="8" spans="1:7" ht="12.75">
      <c r="A8" s="50" t="s">
        <v>2</v>
      </c>
      <c r="B8" s="4"/>
      <c r="C8" s="4"/>
      <c r="E8" s="4" t="s">
        <v>33</v>
      </c>
      <c r="F8" s="4"/>
      <c r="G8" s="4"/>
    </row>
    <row r="9" spans="1:7" ht="12.75">
      <c r="A9" s="4" t="s">
        <v>82</v>
      </c>
      <c r="B9" s="4"/>
      <c r="C9" s="4"/>
      <c r="E9" s="4" t="s">
        <v>82</v>
      </c>
      <c r="F9" s="4"/>
      <c r="G9" s="6"/>
    </row>
    <row r="10" spans="3:7" ht="13.5" thickBot="1">
      <c r="C10" s="7" t="s">
        <v>4</v>
      </c>
      <c r="G10" s="7" t="s">
        <v>4</v>
      </c>
    </row>
    <row r="11" spans="1:7" ht="45.75" thickBot="1">
      <c r="A11" s="8"/>
      <c r="B11" s="9" t="s">
        <v>83</v>
      </c>
      <c r="C11" s="10" t="s">
        <v>84</v>
      </c>
      <c r="E11" s="11" t="s">
        <v>34</v>
      </c>
      <c r="F11" s="12" t="s">
        <v>35</v>
      </c>
      <c r="G11" s="13" t="s">
        <v>36</v>
      </c>
    </row>
    <row r="12" spans="1:7" ht="13.5" thickBot="1">
      <c r="A12" s="52" t="s">
        <v>3</v>
      </c>
      <c r="B12" s="53"/>
      <c r="C12" s="58"/>
      <c r="E12" s="14" t="s">
        <v>37</v>
      </c>
      <c r="F12" s="15">
        <f>SUM(F13:F18)</f>
        <v>6959200</v>
      </c>
      <c r="G12" s="16">
        <f>SUM(G13:G18)</f>
        <v>5325218</v>
      </c>
    </row>
    <row r="13" spans="1:7" ht="12.75">
      <c r="A13" s="17" t="s">
        <v>85</v>
      </c>
      <c r="B13" s="18">
        <f>4551711+11168567</f>
        <v>15720278</v>
      </c>
      <c r="C13" s="19">
        <v>19518641</v>
      </c>
      <c r="E13" s="20" t="s">
        <v>76</v>
      </c>
      <c r="F13" s="21">
        <f>37535+91587</f>
        <v>129122</v>
      </c>
      <c r="G13" s="22">
        <f>11970+40982</f>
        <v>52952</v>
      </c>
    </row>
    <row r="14" spans="1:7" ht="12.75">
      <c r="A14" s="14" t="s">
        <v>5</v>
      </c>
      <c r="B14" s="15"/>
      <c r="C14" s="19"/>
      <c r="E14" s="20" t="s">
        <v>39</v>
      </c>
      <c r="F14" s="21"/>
      <c r="G14" s="22"/>
    </row>
    <row r="15" spans="1:7" ht="22.5">
      <c r="A15" s="14" t="s">
        <v>86</v>
      </c>
      <c r="B15" s="15"/>
      <c r="C15" s="19"/>
      <c r="E15" s="20" t="s">
        <v>40</v>
      </c>
      <c r="F15" s="21">
        <f>6448314-90850+5102</f>
        <v>6362566</v>
      </c>
      <c r="G15" s="22">
        <f>3594+4983309-115930-24833</f>
        <v>4846140</v>
      </c>
    </row>
    <row r="16" spans="1:7" ht="12.75">
      <c r="A16" s="14" t="s">
        <v>80</v>
      </c>
      <c r="B16" s="15">
        <f>2735654+79200</f>
        <v>2814854</v>
      </c>
      <c r="C16" s="19">
        <v>5955636</v>
      </c>
      <c r="E16" s="20" t="s">
        <v>38</v>
      </c>
      <c r="F16" s="21">
        <f>479444-80689</f>
        <v>398755</v>
      </c>
      <c r="G16" s="22">
        <f>376664-5456-93625</f>
        <v>277583</v>
      </c>
    </row>
    <row r="17" spans="1:7" ht="12.75">
      <c r="A17" s="14" t="s">
        <v>6</v>
      </c>
      <c r="B17" s="15">
        <v>410940</v>
      </c>
      <c r="C17" s="19">
        <v>284123</v>
      </c>
      <c r="E17" s="59" t="s">
        <v>93</v>
      </c>
      <c r="F17" s="21">
        <v>68757</v>
      </c>
      <c r="G17" s="22">
        <v>123710</v>
      </c>
    </row>
    <row r="18" spans="1:7" ht="22.5">
      <c r="A18" s="14" t="s">
        <v>87</v>
      </c>
      <c r="B18" s="15">
        <f>5954501+4436020+5663+611+10000</f>
        <v>10406795</v>
      </c>
      <c r="C18" s="19">
        <v>10370272</v>
      </c>
      <c r="E18" s="20" t="s">
        <v>41</v>
      </c>
      <c r="F18" s="21"/>
      <c r="G18" s="22">
        <v>24833</v>
      </c>
    </row>
    <row r="19" spans="1:7" ht="22.5">
      <c r="A19" s="14" t="s">
        <v>88</v>
      </c>
      <c r="B19" s="15"/>
      <c r="C19" s="19"/>
      <c r="E19" s="14" t="s">
        <v>42</v>
      </c>
      <c r="F19" s="15">
        <f>SUM(F20:F25)</f>
        <v>3048141</v>
      </c>
      <c r="G19" s="16">
        <f>SUM(G20:G25)</f>
        <v>2471763</v>
      </c>
    </row>
    <row r="20" spans="1:7" ht="22.5">
      <c r="A20" s="14" t="s">
        <v>89</v>
      </c>
      <c r="B20" s="15">
        <f>156164+129286859+2556965+218743+806-549803</f>
        <v>131669734</v>
      </c>
      <c r="C20" s="19">
        <v>121834170</v>
      </c>
      <c r="E20" s="20" t="s">
        <v>94</v>
      </c>
      <c r="F20" s="21">
        <f>908855</f>
        <v>908855</v>
      </c>
      <c r="G20" s="22">
        <v>682370</v>
      </c>
    </row>
    <row r="21" spans="1:7" ht="22.5">
      <c r="A21" s="14" t="s">
        <v>90</v>
      </c>
      <c r="B21" s="15">
        <f>29442024+31415+326907</f>
        <v>29800346</v>
      </c>
      <c r="C21" s="19">
        <v>24981344</v>
      </c>
      <c r="E21" s="20" t="s">
        <v>43</v>
      </c>
      <c r="F21" s="21">
        <f>6+81477</f>
        <v>81483</v>
      </c>
      <c r="G21" s="22">
        <f>196549</f>
        <v>196549</v>
      </c>
    </row>
    <row r="22" spans="1:7" ht="12.75" customHeight="1">
      <c r="A22" s="14" t="s">
        <v>7</v>
      </c>
      <c r="B22" s="15"/>
      <c r="C22" s="19"/>
      <c r="E22" s="20" t="s">
        <v>44</v>
      </c>
      <c r="F22" s="21">
        <f>822521</f>
        <v>822521</v>
      </c>
      <c r="G22" s="22">
        <f>445141+2642</f>
        <v>447783</v>
      </c>
    </row>
    <row r="23" spans="1:7" ht="12.75">
      <c r="A23" s="14" t="s">
        <v>8</v>
      </c>
      <c r="B23" s="15">
        <v>1211582</v>
      </c>
      <c r="C23" s="19">
        <v>1099032</v>
      </c>
      <c r="E23" s="20" t="s">
        <v>45</v>
      </c>
      <c r="F23" s="21">
        <f>864751+43570</f>
        <v>908321</v>
      </c>
      <c r="G23" s="22">
        <f>786488+38917</f>
        <v>825405</v>
      </c>
    </row>
    <row r="24" spans="1:7" ht="12.75">
      <c r="A24" s="14" t="s">
        <v>9</v>
      </c>
      <c r="B24" s="15">
        <f>6953870-491493+95446</f>
        <v>6557823</v>
      </c>
      <c r="C24" s="19">
        <v>5988042</v>
      </c>
      <c r="E24" s="20" t="s">
        <v>46</v>
      </c>
      <c r="F24" s="21">
        <v>240250</v>
      </c>
      <c r="G24" s="22">
        <v>240093</v>
      </c>
    </row>
    <row r="25" spans="1:7" ht="12.75">
      <c r="A25" s="14" t="s">
        <v>10</v>
      </c>
      <c r="B25" s="15">
        <f>491493-95446</f>
        <v>396047</v>
      </c>
      <c r="C25" s="19">
        <v>422009</v>
      </c>
      <c r="E25" s="20" t="s">
        <v>72</v>
      </c>
      <c r="F25" s="21">
        <f>550+304+85857</f>
        <v>86711</v>
      </c>
      <c r="G25" s="22">
        <f>982+921+77660</f>
        <v>79563</v>
      </c>
    </row>
    <row r="26" spans="1:7" ht="23.25" thickBot="1">
      <c r="A26" s="23" t="s">
        <v>91</v>
      </c>
      <c r="B26" s="24">
        <f>62086+2675503+24850+371+4142903+168082</f>
        <v>7073795</v>
      </c>
      <c r="C26" s="25">
        <v>5030618</v>
      </c>
      <c r="E26" s="14" t="s">
        <v>47</v>
      </c>
      <c r="F26" s="15">
        <f>SUM(F12-F19)</f>
        <v>3911059</v>
      </c>
      <c r="G26" s="16">
        <f>SUM(G12-G19)</f>
        <v>2853455</v>
      </c>
    </row>
    <row r="27" spans="1:7" ht="13.5" thickBot="1">
      <c r="A27" s="26" t="s">
        <v>31</v>
      </c>
      <c r="B27" s="27">
        <f>SUM(B13:B26)</f>
        <v>206062194</v>
      </c>
      <c r="C27" s="28">
        <f>SUM(C13:C26)</f>
        <v>195483887</v>
      </c>
      <c r="E27" s="20"/>
      <c r="F27" s="15"/>
      <c r="G27" s="16"/>
    </row>
    <row r="28" spans="1:7" ht="15.75" customHeight="1" thickBot="1">
      <c r="A28" s="55" t="s">
        <v>11</v>
      </c>
      <c r="B28" s="56"/>
      <c r="C28" s="57"/>
      <c r="E28" s="20" t="s">
        <v>48</v>
      </c>
      <c r="F28" s="21">
        <f>2965408+38-1552749-54010</f>
        <v>1358687</v>
      </c>
      <c r="G28" s="22">
        <f>2270356+4800-689577</f>
        <v>1585579</v>
      </c>
    </row>
    <row r="29" spans="1:7" ht="12.75">
      <c r="A29" s="29" t="s">
        <v>12</v>
      </c>
      <c r="B29" s="30">
        <f>2168+7311975+1+62676</f>
        <v>7376820</v>
      </c>
      <c r="C29" s="31">
        <v>1552186</v>
      </c>
      <c r="E29" s="20"/>
      <c r="F29" s="15"/>
      <c r="G29" s="16"/>
    </row>
    <row r="30" spans="1:7" ht="14.25" customHeight="1">
      <c r="A30" s="14" t="s">
        <v>13</v>
      </c>
      <c r="B30" s="15">
        <f>14172692+32034</f>
        <v>14204726</v>
      </c>
      <c r="C30" s="19"/>
      <c r="E30" s="14" t="s">
        <v>49</v>
      </c>
      <c r="F30" s="15">
        <f>SUM(F26-F28)</f>
        <v>2552372</v>
      </c>
      <c r="G30" s="16">
        <f>SUM(G26-G28)</f>
        <v>1267876</v>
      </c>
    </row>
    <row r="31" spans="1:7" ht="14.25" customHeight="1">
      <c r="A31" s="14" t="s">
        <v>6</v>
      </c>
      <c r="B31" s="15">
        <v>296114</v>
      </c>
      <c r="C31" s="19">
        <v>208898</v>
      </c>
      <c r="E31" s="20"/>
      <c r="F31" s="15"/>
      <c r="G31" s="16"/>
    </row>
    <row r="32" spans="1:7" ht="12.75">
      <c r="A32" s="14" t="s">
        <v>14</v>
      </c>
      <c r="B32" s="15">
        <f>56770206+2483+49+2113+999056+98769</f>
        <v>57872676</v>
      </c>
      <c r="C32" s="19">
        <v>66907309</v>
      </c>
      <c r="E32" s="20" t="s">
        <v>95</v>
      </c>
      <c r="F32" s="21">
        <v>5300000</v>
      </c>
      <c r="G32" s="22"/>
    </row>
    <row r="33" spans="1:7" ht="12.75">
      <c r="A33" s="14" t="s">
        <v>15</v>
      </c>
      <c r="B33" s="15">
        <f>35939724+1221307</f>
        <v>37161031</v>
      </c>
      <c r="C33" s="19">
        <v>37004635</v>
      </c>
      <c r="E33" s="20" t="s">
        <v>50</v>
      </c>
      <c r="F33" s="21">
        <f>90850+762664-20285</f>
        <v>833229</v>
      </c>
      <c r="G33" s="22">
        <f>639631+115930</f>
        <v>755561</v>
      </c>
    </row>
    <row r="34" spans="1:7" ht="12.75">
      <c r="A34" s="14" t="s">
        <v>16</v>
      </c>
      <c r="B34" s="15">
        <f>29391500+569831</f>
        <v>29961331</v>
      </c>
      <c r="C34" s="19">
        <v>41396570</v>
      </c>
      <c r="E34" s="20" t="s">
        <v>51</v>
      </c>
      <c r="F34" s="21">
        <v>-401070</v>
      </c>
      <c r="G34" s="22">
        <f>-112561</f>
        <v>-112561</v>
      </c>
    </row>
    <row r="35" spans="1:7" ht="12.75">
      <c r="A35" s="14" t="s">
        <v>73</v>
      </c>
      <c r="B35" s="15">
        <f>47333+366+341</f>
        <v>48040</v>
      </c>
      <c r="C35" s="19">
        <v>80135</v>
      </c>
      <c r="E35" s="20" t="s">
        <v>52</v>
      </c>
      <c r="F35" s="21">
        <f>14424-16047</f>
        <v>-1623</v>
      </c>
      <c r="G35" s="22">
        <f>9949-1351</f>
        <v>8598</v>
      </c>
    </row>
    <row r="36" spans="1:7" ht="12.75">
      <c r="A36" s="14" t="s">
        <v>17</v>
      </c>
      <c r="B36" s="15">
        <f>10457145+306133</f>
        <v>10763278</v>
      </c>
      <c r="C36" s="19">
        <v>10523028</v>
      </c>
      <c r="E36" s="20" t="s">
        <v>53</v>
      </c>
      <c r="F36" s="21">
        <v>-69530</v>
      </c>
      <c r="G36" s="22">
        <v>22186</v>
      </c>
    </row>
    <row r="37" spans="1:7" ht="12.75">
      <c r="A37" s="14" t="s">
        <v>18</v>
      </c>
      <c r="B37" s="15">
        <v>587872</v>
      </c>
      <c r="C37" s="19">
        <v>395558</v>
      </c>
      <c r="E37" s="20" t="s">
        <v>54</v>
      </c>
      <c r="F37" s="21">
        <f>1160170+62954+72920+20473+47277-1060533-223411-5287-7386+850010-1098789+72061</f>
        <v>-109541</v>
      </c>
      <c r="G37" s="22">
        <f>168524-57900+9779-6656-57055</f>
        <v>56692</v>
      </c>
    </row>
    <row r="38" spans="1:7" ht="22.5">
      <c r="A38" s="14" t="s">
        <v>19</v>
      </c>
      <c r="B38" s="32">
        <f>29885+133181+681971</f>
        <v>845037</v>
      </c>
      <c r="C38" s="19">
        <v>845037</v>
      </c>
      <c r="E38" s="20" t="s">
        <v>55</v>
      </c>
      <c r="F38" s="21">
        <f>858094-54016</f>
        <v>804078</v>
      </c>
      <c r="G38" s="22">
        <f>156391+386928</f>
        <v>543319</v>
      </c>
    </row>
    <row r="39" spans="1:7" ht="12.75">
      <c r="A39" s="14" t="s">
        <v>74</v>
      </c>
      <c r="B39" s="32">
        <f>122980+40940+69808+220729+14329922+475417+41548+38543+335424+306330+294558-30581+50866+10470</f>
        <v>16306954</v>
      </c>
      <c r="C39" s="19">
        <v>18057185</v>
      </c>
      <c r="E39" s="20" t="s">
        <v>56</v>
      </c>
      <c r="F39" s="21"/>
      <c r="G39" s="22"/>
    </row>
    <row r="40" spans="1:7" ht="13.5" thickBot="1">
      <c r="A40" s="33" t="s">
        <v>20</v>
      </c>
      <c r="B40" s="24">
        <v>2415</v>
      </c>
      <c r="C40" s="25">
        <v>2415</v>
      </c>
      <c r="E40" s="20" t="s">
        <v>71</v>
      </c>
      <c r="F40" s="21">
        <f>18107+25+1694+436991+1669665+8937-1552749-46773-54010</f>
        <v>481887</v>
      </c>
      <c r="G40" s="22">
        <f>1851+798+250867+739603+11986-689577-35125</f>
        <v>280403</v>
      </c>
    </row>
    <row r="41" spans="1:7" ht="13.5" thickBot="1">
      <c r="A41" s="26" t="s">
        <v>30</v>
      </c>
      <c r="B41" s="27">
        <f>SUM(B29:B40)</f>
        <v>175426294</v>
      </c>
      <c r="C41" s="28">
        <f>SUM(C29:C40)</f>
        <v>176972956</v>
      </c>
      <c r="E41" s="14" t="s">
        <v>57</v>
      </c>
      <c r="F41" s="15">
        <f>SUM(F32:F40)</f>
        <v>6837430</v>
      </c>
      <c r="G41" s="16">
        <f>SUM(G32:G40)</f>
        <v>1554198</v>
      </c>
    </row>
    <row r="42" spans="1:7" ht="13.5" thickBot="1">
      <c r="A42" s="52" t="s">
        <v>21</v>
      </c>
      <c r="B42" s="53"/>
      <c r="C42" s="54"/>
      <c r="E42" s="34"/>
      <c r="F42" s="15"/>
      <c r="G42" s="16"/>
    </row>
    <row r="43" spans="1:7" ht="12.75">
      <c r="A43" s="29" t="s">
        <v>22</v>
      </c>
      <c r="B43" s="30">
        <f>SUM(B44:B45)</f>
        <v>17772890</v>
      </c>
      <c r="C43" s="31">
        <f>SUM(C44:C45)</f>
        <v>12046416</v>
      </c>
      <c r="E43" s="20" t="s">
        <v>58</v>
      </c>
      <c r="F43" s="21">
        <f>956661+1409379+301326+175300+854+17232+133973</f>
        <v>2994725</v>
      </c>
      <c r="G43" s="22">
        <f>1024256+863895+202623+97818+169+12319+91797</f>
        <v>2292877</v>
      </c>
    </row>
    <row r="44" spans="1:7" ht="12.75">
      <c r="A44" s="35" t="s">
        <v>23</v>
      </c>
      <c r="B44" s="15">
        <v>17363740</v>
      </c>
      <c r="C44" s="31">
        <v>12022266</v>
      </c>
      <c r="E44" s="20" t="s">
        <v>59</v>
      </c>
      <c r="F44" s="21">
        <f>956661+13206</f>
        <v>969867</v>
      </c>
      <c r="G44" s="22">
        <f>1024256+12519</f>
        <v>1036775</v>
      </c>
    </row>
    <row r="45" spans="1:7" ht="12.75">
      <c r="A45" s="35" t="s">
        <v>24</v>
      </c>
      <c r="B45" s="15">
        <v>409150</v>
      </c>
      <c r="C45" s="31">
        <v>24150</v>
      </c>
      <c r="E45" s="20" t="s">
        <v>60</v>
      </c>
      <c r="F45" s="21">
        <v>175300</v>
      </c>
      <c r="G45" s="22">
        <v>97818</v>
      </c>
    </row>
    <row r="46" spans="1:7" ht="22.5">
      <c r="A46" s="29" t="s">
        <v>25</v>
      </c>
      <c r="B46" s="15">
        <v>741469</v>
      </c>
      <c r="C46" s="31">
        <v>728824</v>
      </c>
      <c r="E46" s="20" t="s">
        <v>96</v>
      </c>
      <c r="F46" s="21">
        <v>301326</v>
      </c>
      <c r="G46" s="22">
        <v>202623</v>
      </c>
    </row>
    <row r="47" spans="1:7" ht="12.75">
      <c r="A47" s="29" t="s">
        <v>26</v>
      </c>
      <c r="B47" s="15">
        <f>50913+271</f>
        <v>51184</v>
      </c>
      <c r="C47" s="31">
        <v>49795</v>
      </c>
      <c r="E47" s="20" t="s">
        <v>61</v>
      </c>
      <c r="F47" s="21">
        <f>659+32831+53753+7</f>
        <v>87250</v>
      </c>
      <c r="G47" s="22">
        <f>2934+40701+105859</f>
        <v>149494</v>
      </c>
    </row>
    <row r="48" spans="1:7" ht="12.75">
      <c r="A48" s="29" t="s">
        <v>27</v>
      </c>
      <c r="B48" s="15">
        <v>513337</v>
      </c>
      <c r="C48" s="31">
        <v>513337</v>
      </c>
      <c r="E48" s="20"/>
      <c r="F48" s="15"/>
      <c r="G48" s="16"/>
    </row>
    <row r="49" spans="1:7" ht="12.75">
      <c r="A49" s="14" t="s">
        <v>75</v>
      </c>
      <c r="B49" s="15">
        <f>2668149+93886+483418-13717-681971</f>
        <v>2549765</v>
      </c>
      <c r="C49" s="19">
        <v>2171533</v>
      </c>
      <c r="E49" s="14" t="s">
        <v>62</v>
      </c>
      <c r="F49" s="15">
        <f>SUM(F30+F41-F43-F47)</f>
        <v>6307827</v>
      </c>
      <c r="G49" s="16">
        <f>SUM(G30+G41-G43-G47)</f>
        <v>379703</v>
      </c>
    </row>
    <row r="50" spans="1:7" ht="13.5" thickBot="1">
      <c r="A50" s="23" t="s">
        <v>28</v>
      </c>
      <c r="B50" s="24">
        <f>5959472+3976649+13717-294558+30581-50866-549803-10470-133181+168082</f>
        <v>9109623</v>
      </c>
      <c r="C50" s="36">
        <v>3100616</v>
      </c>
      <c r="E50" s="14"/>
      <c r="F50" s="15"/>
      <c r="G50" s="16"/>
    </row>
    <row r="51" spans="1:7" ht="13.5" thickBot="1">
      <c r="A51" s="26" t="s">
        <v>29</v>
      </c>
      <c r="B51" s="27">
        <f>B43+B46-B47+B48+B49+B50</f>
        <v>30635900</v>
      </c>
      <c r="C51" s="28">
        <f>SUM(C43+C46-C47+C48+C49+C50)</f>
        <v>18510931</v>
      </c>
      <c r="E51" s="20" t="s">
        <v>63</v>
      </c>
      <c r="F51" s="21">
        <f>37686+190+144589-46773</f>
        <v>135692</v>
      </c>
      <c r="G51" s="22">
        <f>6965+27+35675-35125</f>
        <v>7542</v>
      </c>
    </row>
    <row r="52" spans="1:7" ht="13.5" thickBot="1">
      <c r="A52" s="26" t="s">
        <v>32</v>
      </c>
      <c r="B52" s="27">
        <f>SUM(B41,B51)</f>
        <v>206062194</v>
      </c>
      <c r="C52" s="28">
        <f>SUM(C41+C51)</f>
        <v>195483887</v>
      </c>
      <c r="E52" s="37"/>
      <c r="F52" s="15"/>
      <c r="G52" s="16"/>
    </row>
    <row r="53" spans="1:7" ht="12.75">
      <c r="A53" s="38"/>
      <c r="B53" s="38"/>
      <c r="C53" s="39"/>
      <c r="E53" s="14" t="s">
        <v>64</v>
      </c>
      <c r="F53" s="15">
        <f>SUM(F49-F51)</f>
        <v>6172135</v>
      </c>
      <c r="G53" s="16">
        <f>SUM(G49-G51)</f>
        <v>372161</v>
      </c>
    </row>
    <row r="54" spans="1:7" ht="15" customHeight="1">
      <c r="A54" s="40"/>
      <c r="B54" s="40"/>
      <c r="C54" s="41"/>
      <c r="E54" s="33"/>
      <c r="F54" s="15"/>
      <c r="G54" s="16"/>
    </row>
    <row r="55" spans="1:7" ht="12.75">
      <c r="A55" s="42"/>
      <c r="B55" s="42"/>
      <c r="E55" s="20" t="s">
        <v>65</v>
      </c>
      <c r="F55" s="21">
        <f>160887</f>
        <v>160887</v>
      </c>
      <c r="G55" s="22">
        <v>98847</v>
      </c>
    </row>
    <row r="56" spans="1:7" ht="13.5" thickBot="1">
      <c r="A56" s="42"/>
      <c r="B56" s="42"/>
      <c r="E56" s="43"/>
      <c r="F56" s="44"/>
      <c r="G56" s="45"/>
    </row>
    <row r="57" spans="1:7" ht="13.5" thickBot="1">
      <c r="A57" s="42"/>
      <c r="B57" s="42"/>
      <c r="E57" s="46" t="s">
        <v>66</v>
      </c>
      <c r="F57" s="47">
        <f>SUM(F53-F55)</f>
        <v>6011248</v>
      </c>
      <c r="G57" s="48">
        <f>SUM(G53-G55)</f>
        <v>273314</v>
      </c>
    </row>
    <row r="58" spans="1:2" ht="12.75">
      <c r="A58" s="42"/>
      <c r="B58" s="42"/>
    </row>
    <row r="60" spans="1:5" ht="12.75">
      <c r="A60" s="49"/>
      <c r="B60" s="49"/>
      <c r="E60" s="40"/>
    </row>
    <row r="61" spans="5:6" ht="12.75">
      <c r="E61" s="42" t="s">
        <v>67</v>
      </c>
      <c r="F61" s="42" t="s">
        <v>68</v>
      </c>
    </row>
    <row r="62" spans="5:6" ht="12.75">
      <c r="E62" s="42"/>
      <c r="F62" s="42"/>
    </row>
    <row r="63" spans="5:6" ht="12.75">
      <c r="E63" s="42"/>
      <c r="F63" s="42"/>
    </row>
    <row r="64" spans="5:6" ht="12.75">
      <c r="E64" s="42" t="s">
        <v>69</v>
      </c>
      <c r="F64" s="42" t="s">
        <v>70</v>
      </c>
    </row>
    <row r="65" ht="12.75">
      <c r="F65" s="42"/>
    </row>
    <row r="66" ht="12.75">
      <c r="E66" s="49" t="s">
        <v>92</v>
      </c>
    </row>
  </sheetData>
  <mergeCells count="3">
    <mergeCell ref="A42:C42"/>
    <mergeCell ref="A28:C28"/>
    <mergeCell ref="A12:C12"/>
  </mergeCells>
  <printOptions/>
  <pageMargins left="0.72" right="0.3" top="0.42" bottom="0.31" header="0.21" footer="0.18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ozdrovskaya</dc:creator>
  <cp:keywords/>
  <dc:description/>
  <cp:lastModifiedBy>ospanova_zh</cp:lastModifiedBy>
  <cp:lastPrinted>2007-04-16T05:47:13Z</cp:lastPrinted>
  <dcterms:created xsi:type="dcterms:W3CDTF">2007-04-16T05:43:28Z</dcterms:created>
  <dcterms:modified xsi:type="dcterms:W3CDTF">2008-02-05T05:06:19Z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1087</vt:i4>
  </property>
</Properties>
</file>