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011007" sheetId="1" r:id="rId1"/>
  </sheets>
  <definedNames>
    <definedName name="_xlnm.Print_Area" localSheetId="0">'011007'!$A$1:$G$66</definedName>
  </definedNames>
  <calcPr fullCalcOnLoad="1"/>
</workbook>
</file>

<file path=xl/sharedStrings.xml><?xml version="1.0" encoding="utf-8"?>
<sst xmlns="http://schemas.openxmlformats.org/spreadsheetml/2006/main" count="103" uniqueCount="100">
  <si>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</si>
  <si>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</si>
  <si>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</si>
  <si>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</si>
  <si>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</si>
  <si>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 *</t>
  </si>
  <si>
    <t>ОТЧЕТ О ПРИБЫЛЯХ И УБЫТКАХ *</t>
  </si>
  <si>
    <t>АО "БАНК КАСПИЙСКИЙ"</t>
  </si>
  <si>
    <t>по состоянию за 3 квартал 2007 года</t>
  </si>
  <si>
    <t>тыс. тенге</t>
  </si>
  <si>
    <t>тыс.тенге</t>
  </si>
  <si>
    <t>На конец отчетного периода</t>
  </si>
  <si>
    <t>На начало отчетного периода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</si>
  <si>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</si>
  <si>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</si>
  <si>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</si>
  <si>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</si>
  <si>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доходы:</t>
  </si>
  <si>
    <t>Касса и остатки в национальных банках</t>
  </si>
  <si>
    <t xml:space="preserve">   по корреспондентским счетам и размещенным вкладам</t>
  </si>
  <si>
    <t>Аффинированные драгоценные металлы</t>
  </si>
  <si>
    <t xml:space="preserve">   по займам и финансовой аренде, выданным банкам</t>
  </si>
  <si>
    <t>Торговые ценные бумаги (за вычетом резервов на возможные потери)</t>
  </si>
  <si>
    <t xml:space="preserve">   по займам, предоставленным клиентам</t>
  </si>
  <si>
    <t>Ценные бумаги по договору обратного РЕПО</t>
  </si>
  <si>
    <t xml:space="preserve">   по ценным бумагам</t>
  </si>
  <si>
    <t>Производные финансовые инструменты</t>
  </si>
  <si>
    <t xml:space="preserve">   по операциям РЕПО</t>
  </si>
  <si>
    <t xml:space="preserve">Корреспондентские счета и вклады в других банках (за вычетом резервов на возможные потери) </t>
  </si>
  <si>
    <t xml:space="preserve">   прочие операционные доходы</t>
  </si>
  <si>
    <t>Займы и финансовая аренда, предоставленные другим банкам (за вычетом резервов на возможные потери)</t>
  </si>
  <si>
    <t>Процентные расходы:</t>
  </si>
  <si>
    <t>Займы, предоставленные клиентам (за вычетом резервов на возможные потери)</t>
  </si>
  <si>
    <t xml:space="preserve">   по счетам клиентов</t>
  </si>
  <si>
    <t>Вложения в ценные бумаги (за вычетом резервов на возможные потери)</t>
  </si>
  <si>
    <t xml:space="preserve">   по корреспондентским счетам и вкладам, привлеченным от банков</t>
  </si>
  <si>
    <t>Отсроченное налоговое требование</t>
  </si>
  <si>
    <t xml:space="preserve">   по займам, полученным от банков</t>
  </si>
  <si>
    <t>Инвестиции в капитал и субординированный долг</t>
  </si>
  <si>
    <t xml:space="preserve">   по выпущенным долговым ценным бумагам</t>
  </si>
  <si>
    <t>Основные средства (за вычетом амортизации)</t>
  </si>
  <si>
    <t xml:space="preserve">   по субординированному долгу</t>
  </si>
  <si>
    <t>Нематериальные активы (за вычетом амортизации)</t>
  </si>
  <si>
    <t xml:space="preserve">   прочие процентные расходы</t>
  </si>
  <si>
    <t>Прочие активы (за вычетом резервов на возможные потери)</t>
  </si>
  <si>
    <t>Чистый процентный доход (убыток) до формирования резерва на  потери по займам</t>
  </si>
  <si>
    <t>ИТОГО АКТИВОВ</t>
  </si>
  <si>
    <t>ОБЯЗАТЕЛЬСТВА</t>
  </si>
  <si>
    <t>Формирование резервов на потери по займам</t>
  </si>
  <si>
    <t>Корреспондентские счета и вклады банков</t>
  </si>
  <si>
    <t>Ценные бумаги, проданные по соглашениям РЕПО</t>
  </si>
  <si>
    <t>Чистый процентный доход (убыток)</t>
  </si>
  <si>
    <t>Банковские счета и вклады клиентов</t>
  </si>
  <si>
    <t>Доходы в виде дивидендов</t>
  </si>
  <si>
    <t>Выпущенные долговые ценные бумаги</t>
  </si>
  <si>
    <t>Доходы в виде комиссионных и сборов</t>
  </si>
  <si>
    <t>Задолженность перед банками</t>
  </si>
  <si>
    <t>Расходы по выплате комиссионных и сборов</t>
  </si>
  <si>
    <t>Прочие привлеченные средства</t>
  </si>
  <si>
    <t>Доходы (убытки) от купли/продажи ценных бумаг (нетто)</t>
  </si>
  <si>
    <t>Субординированный долг</t>
  </si>
  <si>
    <t>Доходы (убытки) от переоценки ценных бумаг (нетто)</t>
  </si>
  <si>
    <t>Налоговые обязательства</t>
  </si>
  <si>
    <t>Доходы (убытки) по операциям с иностранной валютой (нетто)</t>
  </si>
  <si>
    <t>Отсроченное налоговое обязательство</t>
  </si>
  <si>
    <t>Доходы (убытки) от переоценки иностранной валюты и золота (нетто)</t>
  </si>
  <si>
    <t>Прочие обязательства</t>
  </si>
  <si>
    <t>Доходы, связанные с участием в ассоциированных организациях</t>
  </si>
  <si>
    <t>Дивиденды к выплате</t>
  </si>
  <si>
    <t>Прочие доходы</t>
  </si>
  <si>
    <t xml:space="preserve">ИТОГО ОБЯЗАТЕЛЬСТВА </t>
  </si>
  <si>
    <t>Чистый непроцентный доход (убыток)</t>
  </si>
  <si>
    <t>СОБСТВЕННЫЙ КАПИТАЛ</t>
  </si>
  <si>
    <t xml:space="preserve">Уставный  капитал </t>
  </si>
  <si>
    <t>Операционные расходы, в т.ч.:</t>
  </si>
  <si>
    <t xml:space="preserve">     простые акции</t>
  </si>
  <si>
    <t xml:space="preserve">   расходы на оплату труда и командировочные</t>
  </si>
  <si>
    <t xml:space="preserve">     привилегированные акции</t>
  </si>
  <si>
    <t xml:space="preserve">    амортизация и износ</t>
  </si>
  <si>
    <t>Эмиссионный доход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</si>
  <si>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</si>
  <si>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Изъятый капитал</t>
  </si>
  <si>
    <t>Прочие расходы</t>
  </si>
  <si>
    <t>Резервный капитал</t>
  </si>
  <si>
    <t>Прочие резервы</t>
  </si>
  <si>
    <t>Операционная прибыль</t>
  </si>
  <si>
    <t>Чистая прибыль (убыток) за период</t>
  </si>
  <si>
    <t xml:space="preserve">ИТОГО КАПИТАЛ </t>
  </si>
  <si>
    <t>Формирование резервов на потери по прочим операциям</t>
  </si>
  <si>
    <t>ИТОГО ОБЯЗАТЕЛЬСТВ И СОБСТВЕННОГО КАПИТАЛА:</t>
  </si>
  <si>
    <t>Прибыль (убыток) до налогообложения</t>
  </si>
  <si>
    <t>* Отчет подготовлен в соответствии с Международными стандартами</t>
  </si>
  <si>
    <t>Расходы по налогу на прибыль</t>
  </si>
  <si>
    <t>финансовой отчетности</t>
  </si>
  <si>
    <t>Чистая прибыль (убыток)</t>
  </si>
  <si>
    <t>Председатель Правления</t>
  </si>
  <si>
    <t>Ломтадзе М.Н.</t>
  </si>
  <si>
    <t>Главный бухгалтер</t>
  </si>
  <si>
    <t>Уалибекова Н.А.</t>
  </si>
  <si>
    <t>Исполнитель: Оздровская Л.Б., тел. 92-59-87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</si>
</sst>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166" fontId="2" fillId="0" borderId="1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66" fontId="2" fillId="0" borderId="13" xfId="18" applyNumberFormat="1" applyFont="1" applyBorder="1" applyAlignment="1">
      <alignment vertical="center"/>
    </xf>
    <xf numFmtId="166" fontId="2" fillId="0" borderId="14" xfId="1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166" fontId="3" fillId="0" borderId="11" xfId="18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 wrapText="1"/>
    </xf>
    <xf numFmtId="166" fontId="2" fillId="0" borderId="17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8" xfId="18" applyNumberFormat="1" applyFont="1" applyBorder="1" applyAlignment="1">
      <alignment vertical="center" wrapText="1"/>
    </xf>
    <xf numFmtId="166" fontId="1" fillId="0" borderId="9" xfId="18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6" fontId="2" fillId="0" borderId="13" xfId="18" applyNumberFormat="1" applyFont="1" applyBorder="1" applyAlignment="1">
      <alignment vertical="center" wrapText="1"/>
    </xf>
    <xf numFmtId="166" fontId="2" fillId="0" borderId="19" xfId="18" applyNumberFormat="1" applyFont="1" applyBorder="1" applyAlignment="1">
      <alignment vertical="center"/>
    </xf>
    <xf numFmtId="166" fontId="2" fillId="0" borderId="20" xfId="18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6" fontId="2" fillId="0" borderId="23" xfId="18" applyNumberFormat="1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4" xfId="0" applyFont="1" applyBorder="1" applyAlignment="1">
      <alignment vertical="center" wrapText="1"/>
    </xf>
    <xf numFmtId="166" fontId="3" fillId="0" borderId="16" xfId="18" applyNumberFormat="1" applyFont="1" applyBorder="1" applyAlignment="1">
      <alignment vertical="center" wrapText="1"/>
    </xf>
    <xf numFmtId="166" fontId="3" fillId="0" borderId="25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 wrapText="1"/>
    </xf>
    <xf numFmtId="166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7">
      <selection activeCell="A8" sqref="A8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14" t="s">
        <v>16</v>
      </c>
      <c r="B12" s="15"/>
      <c r="C12" s="16"/>
      <c r="E12" s="17" t="s">
        <v>17</v>
      </c>
      <c r="F12" s="18">
        <f>SUM(F13:F18)</f>
        <v>22242080</v>
      </c>
      <c r="G12" s="19">
        <f>SUM(G13:G18)</f>
        <v>10895846</v>
      </c>
    </row>
    <row r="13" spans="1:7" ht="12.75">
      <c r="A13" s="20" t="s">
        <v>18</v>
      </c>
      <c r="B13" s="21">
        <f>4592734+11330539</f>
        <v>15923273</v>
      </c>
      <c r="C13" s="22">
        <v>19518641</v>
      </c>
      <c r="E13" s="23" t="s">
        <v>19</v>
      </c>
      <c r="F13" s="24">
        <f>71047+146847</f>
        <v>217894</v>
      </c>
      <c r="G13" s="25">
        <f>20291+67577</f>
        <v>87868</v>
      </c>
    </row>
    <row r="14" spans="1:7" ht="12.75">
      <c r="A14" s="17" t="s">
        <v>20</v>
      </c>
      <c r="B14" s="18"/>
      <c r="C14" s="22"/>
      <c r="E14" s="23" t="s">
        <v>21</v>
      </c>
      <c r="F14" s="24"/>
      <c r="G14" s="25"/>
    </row>
    <row r="15" spans="1:7" ht="22.5">
      <c r="A15" s="17" t="s">
        <v>22</v>
      </c>
      <c r="B15" s="18"/>
      <c r="C15" s="22"/>
      <c r="E15" s="23" t="s">
        <v>23</v>
      </c>
      <c r="F15" s="24">
        <f>14038+21136916-534112</f>
        <v>20616842</v>
      </c>
      <c r="G15" s="25">
        <f>10164+10018695-264926-34770</f>
        <v>9729163</v>
      </c>
    </row>
    <row r="16" spans="1:7" ht="12.75">
      <c r="A16" s="17" t="s">
        <v>24</v>
      </c>
      <c r="B16" s="18">
        <f>3017310+45742</f>
        <v>3063052</v>
      </c>
      <c r="C16" s="22">
        <v>5955636</v>
      </c>
      <c r="E16" s="23" t="s">
        <v>25</v>
      </c>
      <c r="F16" s="24">
        <f>1407573-231303</f>
        <v>1176270</v>
      </c>
      <c r="G16" s="25">
        <f>907672-10595-204153</f>
        <v>692924</v>
      </c>
    </row>
    <row r="17" spans="1:7" ht="12.75">
      <c r="A17" s="17" t="s">
        <v>26</v>
      </c>
      <c r="B17" s="18">
        <f>779786+30564</f>
        <v>810350</v>
      </c>
      <c r="C17" s="22">
        <v>284123</v>
      </c>
      <c r="E17" s="23" t="s">
        <v>27</v>
      </c>
      <c r="F17" s="24">
        <v>231074</v>
      </c>
      <c r="G17" s="25">
        <v>351121</v>
      </c>
    </row>
    <row r="18" spans="1:7" ht="22.5">
      <c r="A18" s="17" t="s">
        <v>28</v>
      </c>
      <c r="B18" s="18">
        <f>2723922+1872444+4321+471</f>
        <v>4601158</v>
      </c>
      <c r="C18" s="22">
        <v>10370272</v>
      </c>
      <c r="E18" s="23" t="s">
        <v>29</v>
      </c>
      <c r="F18" s="24"/>
      <c r="G18" s="25">
        <v>34770</v>
      </c>
    </row>
    <row r="19" spans="1:7" ht="22.5">
      <c r="A19" s="17" t="s">
        <v>30</v>
      </c>
      <c r="B19" s="18"/>
      <c r="C19" s="22"/>
      <c r="E19" s="17" t="s">
        <v>31</v>
      </c>
      <c r="F19" s="18">
        <f>SUM(F20:F25)</f>
        <v>9678813</v>
      </c>
      <c r="G19" s="19">
        <f>SUM(G20:G25)</f>
        <v>5199548</v>
      </c>
    </row>
    <row r="20" spans="1:7" ht="22.5">
      <c r="A20" s="17" t="s">
        <v>32</v>
      </c>
      <c r="B20" s="18">
        <f>164779586+160360+982+4405672+39146-436202</f>
        <v>168949544</v>
      </c>
      <c r="C20" s="22">
        <v>121834170</v>
      </c>
      <c r="E20" s="23" t="s">
        <v>33</v>
      </c>
      <c r="F20" s="24">
        <v>3012405</v>
      </c>
      <c r="G20" s="25">
        <v>1452673</v>
      </c>
    </row>
    <row r="21" spans="1:7" ht="22.5">
      <c r="A21" s="17" t="s">
        <v>34</v>
      </c>
      <c r="B21" s="18">
        <f>23720160+82793+323687</f>
        <v>24126640</v>
      </c>
      <c r="C21" s="22">
        <v>24981344</v>
      </c>
      <c r="E21" s="23" t="s">
        <v>35</v>
      </c>
      <c r="F21" s="24">
        <f>23+254868</f>
        <v>254891</v>
      </c>
      <c r="G21" s="25">
        <f>2+336518</f>
        <v>336520</v>
      </c>
    </row>
    <row r="22" spans="1:7" ht="12.75" customHeight="1">
      <c r="A22" s="17" t="s">
        <v>36</v>
      </c>
      <c r="B22" s="18"/>
      <c r="C22" s="22"/>
      <c r="E22" s="23" t="s">
        <v>37</v>
      </c>
      <c r="F22" s="24">
        <f>18522+2559854</f>
        <v>2578376</v>
      </c>
      <c r="G22" s="25">
        <f>1155605+9786</f>
        <v>1165391</v>
      </c>
    </row>
    <row r="23" spans="1:7" ht="12.75">
      <c r="A23" s="17" t="s">
        <v>38</v>
      </c>
      <c r="B23" s="18">
        <v>581900</v>
      </c>
      <c r="C23" s="22">
        <v>1099032</v>
      </c>
      <c r="E23" s="23" t="s">
        <v>39</v>
      </c>
      <c r="F23" s="24">
        <f>2513581+129273</f>
        <v>2642854</v>
      </c>
      <c r="G23" s="25">
        <f>1576110+77749</f>
        <v>1653859</v>
      </c>
    </row>
    <row r="24" spans="1:7" ht="12.75">
      <c r="A24" s="17" t="s">
        <v>40</v>
      </c>
      <c r="B24" s="18">
        <f>11070279-502770+164301</f>
        <v>10731810</v>
      </c>
      <c r="C24" s="22">
        <v>5988042</v>
      </c>
      <c r="E24" s="23" t="s">
        <v>41</v>
      </c>
      <c r="F24" s="24">
        <v>719911</v>
      </c>
      <c r="G24" s="25">
        <v>480856</v>
      </c>
    </row>
    <row r="25" spans="1:7" ht="12.75">
      <c r="A25" s="17" t="s">
        <v>42</v>
      </c>
      <c r="B25" s="18">
        <f>502770-164301</f>
        <v>338469</v>
      </c>
      <c r="C25" s="22">
        <v>422009</v>
      </c>
      <c r="E25" s="23" t="s">
        <v>43</v>
      </c>
      <c r="F25" s="24">
        <f>1628+4280+464468</f>
        <v>470376</v>
      </c>
      <c r="G25" s="25">
        <f>1667+1376+107206</f>
        <v>110249</v>
      </c>
    </row>
    <row r="26" spans="1:7" ht="23.25" thickBot="1">
      <c r="A26" s="26" t="s">
        <v>44</v>
      </c>
      <c r="B26" s="27">
        <f>61196+3244978+52936+1543+1733499+133024-14024</f>
        <v>5213152</v>
      </c>
      <c r="C26" s="28">
        <v>5030618</v>
      </c>
      <c r="E26" s="17" t="s">
        <v>45</v>
      </c>
      <c r="F26" s="18">
        <f>SUM(F12-F19)</f>
        <v>12563267</v>
      </c>
      <c r="G26" s="19">
        <f>SUM(G12-G19)</f>
        <v>5696298</v>
      </c>
    </row>
    <row r="27" spans="1:7" ht="13.5" thickBot="1">
      <c r="A27" s="29" t="s">
        <v>46</v>
      </c>
      <c r="B27" s="30">
        <f>SUM(B13:B26)</f>
        <v>234339348</v>
      </c>
      <c r="C27" s="31">
        <f>SUM(C13:C26)</f>
        <v>195483887</v>
      </c>
      <c r="E27" s="23"/>
      <c r="F27" s="18"/>
      <c r="G27" s="19"/>
    </row>
    <row r="28" spans="1:7" ht="15.75" customHeight="1" thickBot="1">
      <c r="A28" s="32" t="s">
        <v>47</v>
      </c>
      <c r="B28" s="33"/>
      <c r="C28" s="34"/>
      <c r="E28" s="23" t="s">
        <v>48</v>
      </c>
      <c r="F28" s="24">
        <f>7688440+3590-2315019-549803+436202+15905</f>
        <v>5279315</v>
      </c>
      <c r="G28" s="25">
        <f>4157087+5968-734110+26</f>
        <v>3428971</v>
      </c>
    </row>
    <row r="29" spans="1:7" ht="12.75">
      <c r="A29" s="35" t="s">
        <v>49</v>
      </c>
      <c r="B29" s="36">
        <f>12986+6905200+30914+7</f>
        <v>6949107</v>
      </c>
      <c r="C29" s="37">
        <v>1552186</v>
      </c>
      <c r="E29" s="23"/>
      <c r="F29" s="18"/>
      <c r="G29" s="19"/>
    </row>
    <row r="30" spans="1:7" ht="14.25" customHeight="1">
      <c r="A30" s="17" t="s">
        <v>50</v>
      </c>
      <c r="B30" s="18">
        <f>15685364+76032</f>
        <v>15761396</v>
      </c>
      <c r="C30" s="22"/>
      <c r="E30" s="17" t="s">
        <v>51</v>
      </c>
      <c r="F30" s="18">
        <f>SUM(F26-F28)</f>
        <v>7283952</v>
      </c>
      <c r="G30" s="19">
        <f>SUM(G26-G28)</f>
        <v>2267327</v>
      </c>
    </row>
    <row r="31" spans="1:7" ht="14.25" customHeight="1">
      <c r="A31" s="17" t="s">
        <v>26</v>
      </c>
      <c r="B31" s="18">
        <f>4674865-66158</f>
        <v>4608707</v>
      </c>
      <c r="C31" s="22">
        <v>208898</v>
      </c>
      <c r="E31" s="23"/>
      <c r="F31" s="18"/>
      <c r="G31" s="19"/>
    </row>
    <row r="32" spans="1:7" ht="12.75">
      <c r="A32" s="17" t="s">
        <v>52</v>
      </c>
      <c r="B32" s="18">
        <f>73934269+4023+166+15365+982770+72108</f>
        <v>75008701</v>
      </c>
      <c r="C32" s="22">
        <v>66907309</v>
      </c>
      <c r="E32" s="23" t="s">
        <v>53</v>
      </c>
      <c r="F32" s="24">
        <v>5300000</v>
      </c>
      <c r="G32" s="25"/>
    </row>
    <row r="33" spans="1:7" ht="12.75">
      <c r="A33" s="17" t="s">
        <v>54</v>
      </c>
      <c r="B33" s="18">
        <f>34994337+1162053</f>
        <v>36156390</v>
      </c>
      <c r="C33" s="22">
        <v>37004635</v>
      </c>
      <c r="E33" s="23" t="s">
        <v>55</v>
      </c>
      <c r="F33" s="24">
        <f>534112+2643335+61171-360259</f>
        <v>2878359</v>
      </c>
      <c r="G33" s="25">
        <f>264926+1424269</f>
        <v>1689195</v>
      </c>
    </row>
    <row r="34" spans="1:7" ht="12.75">
      <c r="A34" s="17" t="s">
        <v>56</v>
      </c>
      <c r="B34" s="18">
        <f>2255776+38757858+14314+1087707</f>
        <v>42115655</v>
      </c>
      <c r="C34" s="22">
        <v>41396570</v>
      </c>
      <c r="E34" s="23" t="s">
        <v>57</v>
      </c>
      <c r="F34" s="24">
        <v>-1143209</v>
      </c>
      <c r="G34" s="25">
        <f>-321355</f>
        <v>-321355</v>
      </c>
    </row>
    <row r="35" spans="1:7" ht="12.75">
      <c r="A35" s="17" t="s">
        <v>58</v>
      </c>
      <c r="B35" s="18">
        <f>39519+368</f>
        <v>39887</v>
      </c>
      <c r="C35" s="22">
        <v>80135</v>
      </c>
      <c r="E35" s="23" t="s">
        <v>59</v>
      </c>
      <c r="F35" s="24">
        <f>248207-113511</f>
        <v>134696</v>
      </c>
      <c r="G35" s="25">
        <f>81524-67408</f>
        <v>14116</v>
      </c>
    </row>
    <row r="36" spans="1:7" ht="12.75">
      <c r="A36" s="17" t="s">
        <v>60</v>
      </c>
      <c r="B36" s="18">
        <f>10462327+305216</f>
        <v>10767543</v>
      </c>
      <c r="C36" s="22">
        <v>10523028</v>
      </c>
      <c r="E36" s="23" t="s">
        <v>61</v>
      </c>
      <c r="F36" s="24">
        <v>455892</v>
      </c>
      <c r="G36" s="25">
        <v>69400</v>
      </c>
    </row>
    <row r="37" spans="1:7" ht="12.75">
      <c r="A37" s="17" t="s">
        <v>62</v>
      </c>
      <c r="B37" s="18">
        <v>592398</v>
      </c>
      <c r="C37" s="22">
        <v>395558</v>
      </c>
      <c r="E37" s="23" t="s">
        <v>63</v>
      </c>
      <c r="F37" s="24">
        <f>3264196+284831+65288+10494+131435+308184-2888316-579508-5566-30875-57518-284060+4565035-5128984+72061+96722</f>
        <v>-176581</v>
      </c>
      <c r="G37" s="25">
        <f>497223-178191+162961-387305-47486</f>
        <v>47202</v>
      </c>
    </row>
    <row r="38" spans="1:7" ht="12.75">
      <c r="A38" s="17" t="s">
        <v>64</v>
      </c>
      <c r="B38" s="38">
        <f>739887+18955+227323</f>
        <v>986165</v>
      </c>
      <c r="C38" s="22">
        <v>845037</v>
      </c>
      <c r="E38" s="23" t="s">
        <v>65</v>
      </c>
      <c r="F38" s="24">
        <f>93141+1331151</f>
        <v>1424292</v>
      </c>
      <c r="G38" s="25">
        <f>334757+2376682</f>
        <v>2711439</v>
      </c>
    </row>
    <row r="39" spans="1:7" ht="12.75">
      <c r="A39" s="17" t="s">
        <v>66</v>
      </c>
      <c r="B39" s="38">
        <f>221074+37141+83411+250421+8194693+1128914+23404+41688+209316+255991+7210+233387+360259+1881</f>
        <v>11048790</v>
      </c>
      <c r="C39" s="22">
        <v>18057185</v>
      </c>
      <c r="E39" s="23" t="s">
        <v>67</v>
      </c>
      <c r="F39" s="24"/>
      <c r="G39" s="25"/>
    </row>
    <row r="40" spans="1:7" ht="13.5" thickBot="1">
      <c r="A40" s="39" t="s">
        <v>68</v>
      </c>
      <c r="B40" s="27">
        <v>0</v>
      </c>
      <c r="C40" s="28">
        <v>2415</v>
      </c>
      <c r="E40" s="23" t="s">
        <v>69</v>
      </c>
      <c r="F40" s="24">
        <f>143167+25+1392946+2562841+866+4004-2382285</f>
        <v>1721564</v>
      </c>
      <c r="G40" s="25">
        <f>4861+2430+593216+827327+13473-791422+98</f>
        <v>649983</v>
      </c>
    </row>
    <row r="41" spans="1:7" ht="13.5" thickBot="1">
      <c r="A41" s="29" t="s">
        <v>70</v>
      </c>
      <c r="B41" s="30">
        <f>SUM(B29:B40)</f>
        <v>204034739</v>
      </c>
      <c r="C41" s="31">
        <f>SUM(C29:C40)</f>
        <v>176972956</v>
      </c>
      <c r="E41" s="17" t="s">
        <v>71</v>
      </c>
      <c r="F41" s="18">
        <f>SUM(F32:F40)</f>
        <v>10595013</v>
      </c>
      <c r="G41" s="19">
        <f>SUM(G32:G40)</f>
        <v>4859980</v>
      </c>
    </row>
    <row r="42" spans="1:7" ht="13.5" thickBot="1">
      <c r="A42" s="14" t="s">
        <v>72</v>
      </c>
      <c r="B42" s="15"/>
      <c r="C42" s="40"/>
      <c r="E42" s="41"/>
      <c r="F42" s="18"/>
      <c r="G42" s="19"/>
    </row>
    <row r="43" spans="1:7" ht="12.75">
      <c r="A43" s="35" t="s">
        <v>73</v>
      </c>
      <c r="B43" s="36">
        <f>SUM(B44:B45)</f>
        <v>17776172</v>
      </c>
      <c r="C43" s="37">
        <f>SUM(C44:C45)</f>
        <v>12046416</v>
      </c>
      <c r="E43" s="23" t="s">
        <v>74</v>
      </c>
      <c r="F43" s="24">
        <f>3282822+4611214+911926+559394+7738+263243+413921</f>
        <v>10050258</v>
      </c>
      <c r="G43" s="25">
        <f>1986763+1771772+429647+198755+34503+186868</f>
        <v>4608308</v>
      </c>
    </row>
    <row r="44" spans="1:7" ht="12.75">
      <c r="A44" s="42" t="s">
        <v>75</v>
      </c>
      <c r="B44" s="18">
        <v>17367022</v>
      </c>
      <c r="C44" s="37">
        <v>12022266</v>
      </c>
      <c r="E44" s="23" t="s">
        <v>76</v>
      </c>
      <c r="F44" s="24">
        <f>3282822+46436</f>
        <v>3329258</v>
      </c>
      <c r="G44" s="25">
        <f>1986763+27398</f>
        <v>2014161</v>
      </c>
    </row>
    <row r="45" spans="1:7" ht="12.75">
      <c r="A45" s="42" t="s">
        <v>77</v>
      </c>
      <c r="B45" s="18">
        <v>409150</v>
      </c>
      <c r="C45" s="37">
        <v>24150</v>
      </c>
      <c r="E45" s="23" t="s">
        <v>78</v>
      </c>
      <c r="F45" s="24">
        <v>559394</v>
      </c>
      <c r="G45" s="25">
        <v>198755</v>
      </c>
    </row>
    <row r="46" spans="1:7" ht="22.5">
      <c r="A46" s="35" t="s">
        <v>79</v>
      </c>
      <c r="B46" s="18">
        <v>789310</v>
      </c>
      <c r="C46" s="37">
        <v>728824</v>
      </c>
      <c r="E46" s="23" t="s">
        <v>80</v>
      </c>
      <c r="F46" s="24">
        <v>911926</v>
      </c>
      <c r="G46" s="25">
        <v>429647</v>
      </c>
    </row>
    <row r="47" spans="1:7" ht="12.75">
      <c r="A47" s="35" t="s">
        <v>81</v>
      </c>
      <c r="B47" s="18">
        <f>314004+79428</f>
        <v>393432</v>
      </c>
      <c r="C47" s="37">
        <v>49795</v>
      </c>
      <c r="E47" s="23" t="s">
        <v>82</v>
      </c>
      <c r="F47" s="24">
        <f>12767+109011+11+222395</f>
        <v>344184</v>
      </c>
      <c r="G47" s="25">
        <f>29616+85622+1+303371+5559</f>
        <v>424169</v>
      </c>
    </row>
    <row r="48" spans="1:7" ht="12.75">
      <c r="A48" s="35" t="s">
        <v>83</v>
      </c>
      <c r="B48" s="18">
        <v>791684</v>
      </c>
      <c r="C48" s="37">
        <v>513337</v>
      </c>
      <c r="E48" s="23"/>
      <c r="F48" s="18"/>
      <c r="G48" s="19"/>
    </row>
    <row r="49" spans="1:7" ht="12.75">
      <c r="A49" s="17" t="s">
        <v>84</v>
      </c>
      <c r="B49" s="18">
        <f>2213281-616385+483418-2241-11632-2085-227323</f>
        <v>1837033</v>
      </c>
      <c r="C49" s="22">
        <v>2171533</v>
      </c>
      <c r="E49" s="17" t="s">
        <v>85</v>
      </c>
      <c r="F49" s="18">
        <f>SUM(F30+F41-F43-F47)</f>
        <v>7484523</v>
      </c>
      <c r="G49" s="19">
        <f>SUM(G30+G41-G43-G47)</f>
        <v>2094830</v>
      </c>
    </row>
    <row r="50" spans="1:7" ht="13.5" thickBot="1">
      <c r="A50" s="26" t="s">
        <v>86</v>
      </c>
      <c r="B50" s="27">
        <f>3435526+6894530+2241+11632+2085-233387-360259-443412+133024+96722-18955-15905</f>
        <v>9503842</v>
      </c>
      <c r="C50" s="43">
        <v>3100616</v>
      </c>
      <c r="E50" s="17"/>
      <c r="F50" s="18"/>
      <c r="G50" s="19"/>
    </row>
    <row r="51" spans="1:7" ht="13.5" thickBot="1">
      <c r="A51" s="29" t="s">
        <v>87</v>
      </c>
      <c r="B51" s="30">
        <f>B43+B46-B47+B48+B49+B50</f>
        <v>30304609</v>
      </c>
      <c r="C51" s="31">
        <f>SUM(C43+C46-C47+C48+C49+C50)</f>
        <v>18510931</v>
      </c>
      <c r="E51" s="23" t="s">
        <v>88</v>
      </c>
      <c r="F51" s="24">
        <f>140927+3+203+111762-67266-10470+7210</f>
        <v>182369</v>
      </c>
      <c r="G51" s="25">
        <f>33446+1383+1069+83653-57312-26</f>
        <v>62213</v>
      </c>
    </row>
    <row r="52" spans="1:7" ht="13.5" thickBot="1">
      <c r="A52" s="29" t="s">
        <v>89</v>
      </c>
      <c r="B52" s="30">
        <f>SUM(B41,B51)</f>
        <v>234339348</v>
      </c>
      <c r="C52" s="31">
        <f>SUM(C41+C51)</f>
        <v>195483887</v>
      </c>
      <c r="E52" s="44"/>
      <c r="F52" s="18"/>
      <c r="G52" s="19"/>
    </row>
    <row r="53" spans="1:7" ht="12.75">
      <c r="A53" s="45"/>
      <c r="B53" s="45"/>
      <c r="C53" s="46"/>
      <c r="E53" s="17" t="s">
        <v>90</v>
      </c>
      <c r="F53" s="18">
        <f>SUM(F49-F51)</f>
        <v>7302154</v>
      </c>
      <c r="G53" s="19">
        <f>SUM(G49-G51)</f>
        <v>2032617</v>
      </c>
    </row>
    <row r="54" spans="1:7" ht="15" customHeight="1">
      <c r="A54" s="47"/>
      <c r="B54" s="47"/>
      <c r="C54" s="48"/>
      <c r="E54" s="39"/>
      <c r="F54" s="18"/>
      <c r="G54" s="19"/>
    </row>
    <row r="55" spans="1:7" ht="12.75">
      <c r="A55" s="49" t="s">
        <v>91</v>
      </c>
      <c r="B55" s="49"/>
      <c r="E55" s="23" t="s">
        <v>92</v>
      </c>
      <c r="F55" s="24">
        <f>436973+35058+18955</f>
        <v>490986</v>
      </c>
      <c r="G55" s="25">
        <f>200352+211377</f>
        <v>411729</v>
      </c>
    </row>
    <row r="56" spans="1:7" ht="13.5" thickBot="1">
      <c r="A56" s="49" t="s">
        <v>93</v>
      </c>
      <c r="B56" s="49"/>
      <c r="E56" s="50"/>
      <c r="F56" s="51"/>
      <c r="G56" s="52"/>
    </row>
    <row r="57" spans="1:7" ht="13.5" thickBot="1">
      <c r="A57" s="49"/>
      <c r="B57" s="49"/>
      <c r="E57" s="53" t="s">
        <v>94</v>
      </c>
      <c r="F57" s="54">
        <f>SUM(F53-F55)</f>
        <v>6811168</v>
      </c>
      <c r="G57" s="55">
        <f>SUM(G53-G55)</f>
        <v>1620888</v>
      </c>
    </row>
    <row r="58" spans="1:2" ht="12.75">
      <c r="A58" s="49"/>
      <c r="B58" s="49"/>
    </row>
    <row r="60" spans="1:5" ht="12.75">
      <c r="A60" s="56"/>
      <c r="B60" s="56"/>
      <c r="E60" s="47"/>
    </row>
    <row r="61" spans="5:6" ht="12.75">
      <c r="E61" s="49" t="s">
        <v>95</v>
      </c>
      <c r="F61" s="49" t="s">
        <v>96</v>
      </c>
    </row>
    <row r="62" spans="5:6" ht="12.75">
      <c r="E62" s="49"/>
      <c r="F62" s="49"/>
    </row>
    <row r="63" spans="5:6" ht="12.75">
      <c r="E63" s="49"/>
      <c r="F63" s="49"/>
    </row>
    <row r="64" spans="5:6" ht="12.75">
      <c r="E64" s="49" t="s">
        <v>97</v>
      </c>
      <c r="F64" s="49" t="s">
        <v>98</v>
      </c>
    </row>
    <row r="65" ht="12.75">
      <c r="F65" s="49"/>
    </row>
    <row r="66" ht="12.75">
      <c r="E66" s="56" t="s">
        <v>99</v>
      </c>
    </row>
  </sheetData>
  <mergeCells count="3">
    <mergeCell ref="A42:C42"/>
    <mergeCell ref="A28:C28"/>
    <mergeCell ref="A12:C12"/>
  </mergeCells>
  <printOptions/>
  <pageMargins left="0.71" right="0.3" top="0.3" bottom="0.37" header="0.21" footer="0.27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2007-10-23T04:33:51Z</dcterms:created>
  <dcterms:modified xsi:type="dcterms:W3CDTF">2007-10-23T04:34:11Z</dcterms:modified>
  <cp:category/>
  <cp:version/>
  <cp:contentType/>
  <cp:contentStatus/>
</cp:coreProperties>
</file>